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0" windowWidth="11340" windowHeight="8580" tabRatio="922" activeTab="2"/>
  </bookViews>
  <sheets>
    <sheet name="Источн13 г" sheetId="1" r:id="rId1"/>
    <sheet name="доходы" sheetId="2" r:id="rId2"/>
    <sheet name="расх 13 г" sheetId="3" r:id="rId3"/>
  </sheets>
  <externalReferences>
    <externalReference r:id="rId6"/>
  </externalReferences>
  <definedNames/>
  <calcPr fullCalcOnLoad="1"/>
</workbook>
</file>

<file path=xl/sharedStrings.xml><?xml version="1.0" encoding="utf-8"?>
<sst xmlns="http://schemas.openxmlformats.org/spreadsheetml/2006/main" count="1417" uniqueCount="388">
  <si>
    <t>Благоустройство</t>
  </si>
  <si>
    <t>01</t>
  </si>
  <si>
    <t>02</t>
  </si>
  <si>
    <t>04</t>
  </si>
  <si>
    <t>03</t>
  </si>
  <si>
    <t>09</t>
  </si>
  <si>
    <t>05</t>
  </si>
  <si>
    <t>08</t>
  </si>
  <si>
    <t>Озеленение</t>
  </si>
  <si>
    <t>Коммунальное хозяйство</t>
  </si>
  <si>
    <t>к решению Собрания депутатов</t>
  </si>
  <si>
    <t>Вид расхода</t>
  </si>
  <si>
    <t>Целевая статья</t>
  </si>
  <si>
    <t>Подраздел</t>
  </si>
  <si>
    <t>Раздел</t>
  </si>
  <si>
    <t>Министерство, ведомство</t>
  </si>
  <si>
    <t>Сумма (тыс. рублей)</t>
  </si>
  <si>
    <t>Наименование показателя</t>
  </si>
  <si>
    <t>Сельское хозяйство и рыболовство</t>
  </si>
  <si>
    <t>Библиотеки</t>
  </si>
  <si>
    <t>13</t>
  </si>
  <si>
    <t>Поддержка коммунального хозяйства</t>
  </si>
  <si>
    <t>540</t>
  </si>
  <si>
    <t xml:space="preserve">ОБЩЕГОСУДАРСТВЕННЫЕ ВОПРОСЫ         </t>
  </si>
  <si>
    <t xml:space="preserve">Функционирование             высшего должностного      лица      субъекта Российской        Федерации        и
муниципального образования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</si>
  <si>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</si>
  <si>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002 00 00</t>
  </si>
  <si>
    <t xml:space="preserve">Глава муниципального образования    </t>
  </si>
  <si>
    <t>002 03 00</t>
  </si>
  <si>
    <t>Фонд оплаты труда и страховые взносы</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</si>
  <si>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</si>
  <si>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</si>
  <si>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Центральный аппарат                 </t>
  </si>
  <si>
    <t>002 04 00</t>
  </si>
  <si>
    <t xml:space="preserve">Обеспечение деятельности центрального аппарата  за счет средств местного бюджета            
</t>
  </si>
  <si>
    <t>002 04 01</t>
  </si>
  <si>
    <t>121</t>
  </si>
  <si>
    <t xml:space="preserve">Иные    выплаты    персоналу,  за исключением фонда оплаты труда      
</t>
  </si>
  <si>
    <t>122</t>
  </si>
  <si>
    <t>Закупка товаров, работ, услуг в сфере информационно – коммуникационных технологий</t>
  </si>
  <si>
    <t>242</t>
  </si>
  <si>
    <t xml:space="preserve">Прочая  закупка  товаров,  работ и услуг для государственных (муниципальных) нужд                
</t>
  </si>
  <si>
    <t>244</t>
  </si>
  <si>
    <t xml:space="preserve">Уплата прочих налогов, сборов и иных платежей                            
</t>
  </si>
  <si>
    <t>852</t>
  </si>
  <si>
    <t xml:space="preserve">Выполнение     органами     местного самоуправления переданных государственных  полномочий по применению    законодательства  об административных правонарушениях    
</t>
  </si>
  <si>
    <t>002 04 08</t>
  </si>
  <si>
    <t xml:space="preserve">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</si>
  <si>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</si>
  <si>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Председатель представительного органа муниципального образования   
</t>
  </si>
  <si>
    <t>002 11 00</t>
  </si>
  <si>
    <t xml:space="preserve">Другие общегосударственные вопросы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</si>
  <si>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</si>
  <si>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Государственная регистрация актов гражданского состояния
</t>
  </si>
  <si>
    <t>001 00 00</t>
  </si>
  <si>
    <t>001 38 00</t>
  </si>
  <si>
    <t xml:space="preserve">НАЦИОНАЛЬНАЯ ОБОРОНА                </t>
  </si>
  <si>
    <t xml:space="preserve">Мобилизационная  и вневойсковая подготовка </t>
  </si>
  <si>
    <t xml:space="preserve">Осуществление первичного воинского учета на территориях, где отсутствуют военные комиссариаты
</t>
  </si>
  <si>
    <t>001 36 00</t>
  </si>
  <si>
    <t xml:space="preserve">НАЦИОНАЛЬНАЯ     БЕЗОПАСНОСТЬ      И
ПРАВООХРАНИТЕЛЬНАЯ ДЕЯТЕЛЬНОСТЬ     
</t>
  </si>
  <si>
    <t xml:space="preserve">Защита  населения  и  территории  от чрезвычайных ситуаций  природного  и техногенного характера, гражданская оборона                             
</t>
  </si>
  <si>
    <t xml:space="preserve">Мероприятия  по   предупреждению   и ликвидации последствий  чрезвычайных ситуаций и стихийных бедствий       
</t>
  </si>
  <si>
    <t>218 00 00</t>
  </si>
  <si>
    <t xml:space="preserve">Предупреждение и ликвидация последствий чрезвычайных ситуаций  и стихийных бедствий природного и техногенного характера              
</t>
  </si>
  <si>
    <t>218 01 01</t>
  </si>
  <si>
    <t>218 01 02</t>
  </si>
  <si>
    <t>Осуществление полномочий в области организации деятельности аварийно - спасательных служб и аварийно - спасательных формирований</t>
  </si>
  <si>
    <t xml:space="preserve">НАЦИОНАЛЬНАЯ ЭКОНОМИКА              </t>
  </si>
  <si>
    <t>002 04 10</t>
  </si>
  <si>
    <t>ЖИЛИЩНО -  КОММУНАЛЬНОЕ ХОЗЯЙСТВО</t>
  </si>
  <si>
    <t>092 00 00</t>
  </si>
  <si>
    <t>092 52 00</t>
  </si>
  <si>
    <t xml:space="preserve">Предоставление субсидий на возмещение затрат в связи с производством (реализацией) товаров, выполнением работ, оказанием услуг </t>
  </si>
  <si>
    <t>092 52 01</t>
  </si>
  <si>
    <t xml:space="preserve">Субсидии  юридическим  лицам  (кроме государственных (муниципальных) учреждений)  и  физическим  лицам  - производителям товаров, работ, услуг
</t>
  </si>
  <si>
    <t>810</t>
  </si>
  <si>
    <t>Текущее содержание поселения</t>
  </si>
  <si>
    <t>600 00 00</t>
  </si>
  <si>
    <t xml:space="preserve">Уличное освещение </t>
  </si>
  <si>
    <t>600 01 00</t>
  </si>
  <si>
    <t>600 02 00</t>
  </si>
  <si>
    <t>600 04 00</t>
  </si>
  <si>
    <t>600 03 00</t>
  </si>
  <si>
    <t>Организация и содержание мест захоронения</t>
  </si>
  <si>
    <t xml:space="preserve">Прочие  мероприятия по благоустройству городских округов  и поселений                           
</t>
  </si>
  <si>
    <t>600 05 00</t>
  </si>
  <si>
    <t xml:space="preserve">КУЛЬТУРА И КИНЕМАТОГРАФИЯ           </t>
  </si>
  <si>
    <t xml:space="preserve">Культура                            </t>
  </si>
  <si>
    <t xml:space="preserve">Учреждения культуры и мероприятия в сфере культуры и кинематографии     
</t>
  </si>
  <si>
    <t xml:space="preserve">Комплектование  книжных фондов библиотек муниципальных образований 
</t>
  </si>
  <si>
    <t>440 00 00</t>
  </si>
  <si>
    <t>440 02 00</t>
  </si>
  <si>
    <t xml:space="preserve">Иные межбюджетные трансферты
</t>
  </si>
  <si>
    <t xml:space="preserve">Обеспечение  деятельности  (оказание услуг) подведомственных  учреждений за счет средств местного бюджета    </t>
  </si>
  <si>
    <t>111</t>
  </si>
  <si>
    <t>112</t>
  </si>
  <si>
    <t>Уплата налога на имущество организаций и земельного налога</t>
  </si>
  <si>
    <t>440 99 00</t>
  </si>
  <si>
    <t>851</t>
  </si>
  <si>
    <t>442 00 00</t>
  </si>
  <si>
    <t>442 99 00</t>
  </si>
  <si>
    <t>443 99 00</t>
  </si>
  <si>
    <t>443 00 00</t>
  </si>
  <si>
    <t>Мероприятия в сфере культуры и кинематографии</t>
  </si>
  <si>
    <t>440 01 00</t>
  </si>
  <si>
    <t xml:space="preserve">08 </t>
  </si>
  <si>
    <t xml:space="preserve">ФИЗИЧЕСКАЯ КУЛЬТУРА И СПОРТ         </t>
  </si>
  <si>
    <t xml:space="preserve">Массовый спорт                 </t>
  </si>
  <si>
    <t>11</t>
  </si>
  <si>
    <t>Реализация государственных функций в области физической культуры и спорта</t>
  </si>
  <si>
    <t>Мероприятия для развития на территории муниципального района физической культуры и массового спорта</t>
  </si>
  <si>
    <t>487 00 00</t>
  </si>
  <si>
    <t>487 95 00</t>
  </si>
  <si>
    <t>СОЦИАЛЬНАЯ ПОЛИТИКА</t>
  </si>
  <si>
    <t>10</t>
  </si>
  <si>
    <t>Пенсионное обеспечение</t>
  </si>
  <si>
    <t xml:space="preserve">Доплаты  к  пенсиям,  дополнительное пенсионное обеспечение              
</t>
  </si>
  <si>
    <t>491 00 00</t>
  </si>
  <si>
    <t xml:space="preserve">Доплаты к пенсиям муниципальных служащих                            
</t>
  </si>
  <si>
    <t>491 01 00</t>
  </si>
  <si>
    <t xml:space="preserve">Пенсии, выплачиваемые организациями сектора государственного управления 
</t>
  </si>
  <si>
    <t>312</t>
  </si>
  <si>
    <t>ОБСЛУЖИВАНИЕ ГОСУДАРСТВЕННОГО И МУНИЦИПАЛЬНОГО ДОЛГА</t>
  </si>
  <si>
    <t>Обслуживание внутреннего государственного и муниципального долга</t>
  </si>
  <si>
    <t xml:space="preserve">Процентные платежи по долговым обязательствам </t>
  </si>
  <si>
    <t>Процентные платежи по муниципальному долгу</t>
  </si>
  <si>
    <t>Обслуживание муниципального долга</t>
  </si>
  <si>
    <t>065 00 00</t>
  </si>
  <si>
    <t>065 03 00</t>
  </si>
  <si>
    <t>730</t>
  </si>
  <si>
    <t>Обеспечение проведения выборов и референдумов</t>
  </si>
  <si>
    <t>07</t>
  </si>
  <si>
    <t>Проведение выборов и референдумов</t>
  </si>
  <si>
    <t>Проведение выборов главы поселения</t>
  </si>
  <si>
    <t>020 00 00</t>
  </si>
  <si>
    <t>020 00 03</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</si>
  <si>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</si>
  <si>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</si>
  <si>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</si>
  <si>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 осуществление управленческих функций по организации и осуществлению деятельности в области архитектуры и градостроительства</t>
  </si>
  <si>
    <t>На осуществление отдельных государственных полномочий в области архитектуры и градостроительства</t>
  </si>
  <si>
    <t>На осуществление управленческих функций по осуществлению полномочий по формированию, исполнению бюджета поселений</t>
  </si>
  <si>
    <t>ИТОГО:</t>
  </si>
  <si>
    <t>14</t>
  </si>
  <si>
    <t>521 06 00</t>
  </si>
  <si>
    <t>521 06 01</t>
  </si>
  <si>
    <t>521 06 02</t>
  </si>
  <si>
    <t>521 06 03</t>
  </si>
  <si>
    <t>Реализация государственных функций, связанных с общегосударственным управлением</t>
  </si>
  <si>
    <t>Строительство и содержание автомобильных дорог и инженерных сооружений на них в рамках благоустройства</t>
  </si>
  <si>
    <t>Театры, цирки, концертные и другие организации исполнительских искусств</t>
  </si>
  <si>
    <t>351 00 00</t>
  </si>
  <si>
    <t>351 05 00</t>
  </si>
  <si>
    <t>На осуществление внешнего муниципального финансового контроля</t>
  </si>
  <si>
    <t>Код бюджетной классификации Российской Федерации</t>
  </si>
  <si>
    <t>Наименование кода группы, подгруппы, статьи, вида источника финансирования дефицитов бюджетов, кода сектора государственного управления, относящихся к источникам финансирования дефицитов бюджетов Российской Федерации</t>
  </si>
  <si>
    <t>главного администратора источников финансирования дефицита бюджета</t>
  </si>
  <si>
    <t>Сумма ( тыс. рублей)</t>
  </si>
  <si>
    <t>источников финансирования дефицита бюджета поселения</t>
  </si>
  <si>
    <t>1</t>
  </si>
  <si>
    <t>2</t>
  </si>
  <si>
    <t xml:space="preserve"> 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</si>
  <si>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</si>
  <si>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</si>
  <si>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</si>
  <si>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</si>
  <si>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</si>
  <si>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</si>
  <si>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</si>
  <si>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</si>
  <si>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</si>
  <si>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01 05 02 01 10 0000 510</t>
  </si>
  <si>
    <t>Увеличение прочих остатков денежных средств бюджетов пооселений</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</si>
  <si>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</si>
  <si>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</si>
  <si>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</si>
  <si>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</si>
  <si>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</si>
  <si>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</si>
  <si>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01 05 02 01 10 0000 610</t>
  </si>
  <si>
    <t>Уменьшение прочих остатков денежных средств бюджетов поселений</t>
  </si>
  <si>
    <t>Ведомственная структура  расходов бюджета  Приамурского городского поселения  на 2013 год</t>
  </si>
  <si>
    <t xml:space="preserve">Прочая  закупка  товаров,  работ и услуг для государственных  нужд                
</t>
  </si>
  <si>
    <t xml:space="preserve">Прочая  закупка  товаров,  работ и услуг для государственных нужд                
</t>
  </si>
  <si>
    <t>Проведение выборов представительных органов поселения</t>
  </si>
  <si>
    <t>020 00 04</t>
  </si>
  <si>
    <t>Муниципальные целевые программы</t>
  </si>
  <si>
    <t>7950000</t>
  </si>
  <si>
    <t>310</t>
  </si>
  <si>
    <t>7950200</t>
  </si>
  <si>
    <t>Уточнение</t>
  </si>
  <si>
    <t>Региональные целевые программы</t>
  </si>
  <si>
    <t>5220000</t>
  </si>
  <si>
    <t>Областная целевая программа "Развитие сети автомобильных дорог Еврейской автономной области" на 2009 - 2015 годы</t>
  </si>
  <si>
    <t>5220606</t>
  </si>
  <si>
    <t>Дорожное хозяйство (дорожные фонды)</t>
  </si>
  <si>
    <t>7950100</t>
  </si>
  <si>
    <t>Областная целевая программа "Модернизация объектов коммунальной инфраструктуры в Еврейской автономной области" на 2013-2015 годы</t>
  </si>
  <si>
    <t>5220700</t>
  </si>
  <si>
    <t>Муниципальная целевая программа "Комплексное развитие систем коммунальной инфраструктуры на территории муниципального образования "Приамурское городское поселение" Смидовичского муниицпального района Еврейской автономной области на 2011 - 2020 годы"</t>
  </si>
  <si>
    <t>Муниципальная целевая программа "Ремонт дворовых территорий многоквартирных домов, проездов к дворовым территориям многоквартирных домов Приамурского городского поселения на 2013 год"</t>
  </si>
  <si>
    <t>Источники внутреннего  финансирования дефицита бюджета Приамурского городского поселения на 2013 год</t>
  </si>
  <si>
    <t>Муниципальная целевая программа "Сохранность автомобильных дорог общего пользования местного значения муниципального образовния "Приамурское городское поселение" на 2013 год</t>
  </si>
  <si>
    <t>7950300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</si>
  <si>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</si>
  <si>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собственности</t>
  </si>
  <si>
    <t>Прочая закупка товаров,работ и услуг для государственных  нужд</t>
  </si>
  <si>
    <t>090 00 00</t>
  </si>
  <si>
    <t>090 02 00</t>
  </si>
  <si>
    <t>Поступление доходов в бюджет Приамурского городского поселения в 2013 году</t>
  </si>
  <si>
    <t>Наименование налога (сбора)</t>
  </si>
  <si>
    <t>2013 год, тыс. рублей</t>
  </si>
  <si>
    <t>ДОХОДЫ</t>
  </si>
  <si>
    <t>101</t>
  </si>
  <si>
    <t>00000</t>
  </si>
  <si>
    <t>00</t>
  </si>
  <si>
    <t>0000</t>
  </si>
  <si>
    <t>000</t>
  </si>
  <si>
    <t>НАЛОГ НА ПРИБЫЛЬ, ДОХОДЫ</t>
  </si>
  <si>
    <t>02000</t>
  </si>
  <si>
    <t>110</t>
  </si>
  <si>
    <t>Налог на доходы физических лиц</t>
  </si>
  <si>
    <t>02010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</si>
  <si>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</si>
  <si>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02020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</si>
  <si>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</si>
  <si>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02030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</si>
  <si>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</si>
  <si>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105</t>
  </si>
  <si>
    <t>НАЛОГИ НА СОВОКУПНЫЙ ДОХОД</t>
  </si>
  <si>
    <t>03000</t>
  </si>
  <si>
    <t>Единый сельскохозяйственный налог</t>
  </si>
  <si>
    <t>03010</t>
  </si>
  <si>
    <t>03020</t>
  </si>
  <si>
    <t>Единый сельскохозяйственный налог (за налоговые периоды, истекшие до 1 января 2011 года)</t>
  </si>
  <si>
    <t>106</t>
  </si>
  <si>
    <t>НАЛОГИ НА ИМУЩЕСТВО</t>
  </si>
  <si>
    <t>01030</t>
  </si>
  <si>
    <t>Налог  на имущество физических лиц, взимаемый по ставкам, применяемым к объектам налогообложения, расположенным в границах поселений</t>
  </si>
  <si>
    <t>06000</t>
  </si>
  <si>
    <t xml:space="preserve">Земельный налог </t>
  </si>
  <si>
    <t>06013</t>
  </si>
  <si>
    <t>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</si>
  <si>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</si>
  <si>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06023</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</si>
  <si>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</si>
  <si>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109</t>
  </si>
  <si>
    <t>ЗАДОЛЖЕННОСТЬ И ПЕРЕРАСЧЕТЫ ПО ОТМЕНЕННЫМ НАЛОГАМ, СБОРАМ И ИНЫМ ОБЯЗАТЕЛЬНЫМ ПЛАТЕЖАМ</t>
  </si>
  <si>
    <t>04000</t>
  </si>
  <si>
    <t>Налоги на имущество</t>
  </si>
  <si>
    <t>04050</t>
  </si>
  <si>
    <t xml:space="preserve">Земельный налог  (по  обязательствам,  возникшим  до 1 января 2006 года)  </t>
  </si>
  <si>
    <t>04053</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</si>
  <si>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</si>
  <si>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</si>
  <si>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05000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</si>
  <si>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</si>
  <si>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</si>
  <si>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05013</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</si>
  <si>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</si>
  <si>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05035</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</si>
  <si>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          
</t>
  </si>
  <si>
    <t>09045</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</si>
  <si>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</si>
  <si>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t>
  </si>
  <si>
    <t>ДОХОДЫ ОТ ОКАЗАНИЯ ПЛАТНЫХ УСЛУГ (РАБОТ) И КОМПЕНСАЦИИ ЗАТРАТ ГОСУДАРСТВА</t>
  </si>
  <si>
    <t>01000</t>
  </si>
  <si>
    <t>130</t>
  </si>
  <si>
    <t>Доходы от оказания платных услуг (работ)</t>
  </si>
  <si>
    <t>01990</t>
  </si>
  <si>
    <t>Прочие доходы от оказания платных услуг (работ)</t>
  </si>
  <si>
    <t>01995</t>
  </si>
  <si>
    <t>Прочие доходы от оказания платных услуг (работ) получателями средств бюджетов поселений</t>
  </si>
  <si>
    <t>114</t>
  </si>
  <si>
    <t>ДОХОДЫ ОТ ПРОДАЖИ МАТЕРИАЛЬНЫХ И НЕМАТЕРИАЛЬНЫХ АКТИВОВ</t>
  </si>
  <si>
    <t>02052</t>
  </si>
  <si>
    <t>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</si>
  <si>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учреждений),в части реализации основных средств по указанному имуществу</t>
  </si>
  <si>
    <t>430</t>
  </si>
  <si>
    <t>Доходы от продажи земельных участков, государственная собственность на которые не разграничена и которые расположенны в границах поселений</t>
  </si>
  <si>
    <t>117</t>
  </si>
  <si>
    <t>ПРОЧИЕ НЕНАЛОГОВЫЕ ДОХОДЫ</t>
  </si>
  <si>
    <t>180</t>
  </si>
  <si>
    <t>Невыясненные поступления</t>
  </si>
  <si>
    <t>01050</t>
  </si>
  <si>
    <t>Невыясненные поступления, зачисляемые в бюджеты поселений</t>
  </si>
  <si>
    <t>05050</t>
  </si>
  <si>
    <t>Прочие неналоговые доходы бюджетов поселений</t>
  </si>
  <si>
    <t>Итого налоговых и неналоговых доходов</t>
  </si>
  <si>
    <t>Безвозмездные поступления</t>
  </si>
  <si>
    <t>202</t>
  </si>
  <si>
    <t>Дотации бюджетам субъектов Российской Федерации и муниципальных образований</t>
  </si>
  <si>
    <t>01001</t>
  </si>
  <si>
    <t>151</t>
  </si>
  <si>
    <t>Дотации бюджетам поселений на выравнивание бюджетной обеспеченности</t>
  </si>
  <si>
    <t>01003</t>
  </si>
  <si>
    <t xml:space="preserve">Дотации бюджетам поселений на поддержку мер по обеспечению сбалансированности бюджетов </t>
  </si>
  <si>
    <t>02041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</si>
  <si>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</si>
  <si>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02078</t>
  </si>
  <si>
    <t>Субсидии бюджетам поселений на бюджетные инвестиции для модернизации объектов коммунальной инфраструктуры</t>
  </si>
  <si>
    <t>0000000</t>
  </si>
  <si>
    <t>Субсидии бюджетам субъектов Российской Федерации и муниципальных образований</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</si>
  <si>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</si>
  <si>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на бюджетные инвестиции для модернизации объектов коммунальной инфраструктуры</t>
  </si>
  <si>
    <t>02999</t>
  </si>
  <si>
    <t>Прочие субсидии</t>
  </si>
  <si>
    <t>Прочие субсидии бюджетам поселений</t>
  </si>
  <si>
    <t>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 связаных с повышением размеров окладов (должностных окладов), ставок заработной платы отдельным категориям работников учреждений дошкольного образования и культуры Еврейской автономной области</t>
  </si>
  <si>
    <t>Субсидии на капитальный ремонт и ремонт дворовых территорий многоквартирных домов, поездов к дворовым территориям многоквартирных домов населенных пунктов</t>
  </si>
  <si>
    <t>Субвенции бюджетам субъектов Российской Федерации и муниципальных образований</t>
  </si>
  <si>
    <t>03003</t>
  </si>
  <si>
    <t>Субвенции бюджетам поселений на  государственную регистрацию актов гражданского состояния</t>
  </si>
  <si>
    <t>03015</t>
  </si>
  <si>
    <t>Субвенции бюджетам поселений на осуществление  первичного воинского учёта на территориях, где отсутствуют военные комиссариаты</t>
  </si>
  <si>
    <t>03024</t>
  </si>
  <si>
    <t>Субвенции  бюджетам поселений на выполнение передаваемых полномочий субъектов Российской Федерации</t>
  </si>
  <si>
    <t>Субвенции на осуществление управленческих функций по применению законодательства об административных правонарушениях</t>
  </si>
  <si>
    <t>Субвенции на осуществление отдельных государственных полномочий по предоставлению гражданам актов и справок - выписок, необходимых для получения государственной поддержки личных подсобных хозяйств населения по субсидированию части затрат</t>
  </si>
  <si>
    <t>Иные межбюджетные трансферты</t>
  </si>
  <si>
    <t>04025</t>
  </si>
  <si>
    <t>Межбюджетные трансферты, передаваемые бюджетам поселений на комплектование книжных фондов библиотек муниципальных образований</t>
  </si>
  <si>
    <t>219</t>
  </si>
  <si>
    <t>Возврат остатков субсидий, субвенций и иных межбюджетных трансфертов, имеющих целевое назначение, прошлых лет из бюджетов поселений</t>
  </si>
  <si>
    <t>ВСЕГО ДОХОДОВ:</t>
  </si>
  <si>
    <t>уточнение</t>
  </si>
  <si>
    <t>02040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</si>
  <si>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</si>
  <si>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01009</t>
  </si>
  <si>
    <t>Дотации бюджетам поселений на поощрение достижения наилучших показателей деятельности органов местного самоуправления</t>
  </si>
  <si>
    <t>04999</t>
  </si>
  <si>
    <t>Прочие межбюджетные трансферты передаваемые бюджетам поселений</t>
  </si>
  <si>
    <t>795 12 00</t>
  </si>
  <si>
    <t>Муниципальная целевая программа "Создание условий для развития физической культуры и спорта на территории Смидовичского муниципального района в 2013 году"</t>
  </si>
  <si>
    <t>Прочие безвозмездные поступления в бюджеты поселений</t>
  </si>
  <si>
    <t>207</t>
  </si>
  <si>
    <t>05030</t>
  </si>
  <si>
    <t>218 01 03</t>
  </si>
  <si>
    <t xml:space="preserve">Предупреждение и ликвидация последствий чрезвычайных ситуаций  и стихийных бедствий природного и техногенного характера (добровольные пожертвования)             
</t>
  </si>
  <si>
    <t xml:space="preserve">Уточнение </t>
  </si>
  <si>
    <t>070 00 00</t>
  </si>
  <si>
    <t>070 04 00</t>
  </si>
  <si>
    <t>Расходы резервного фонда на проведение аварийно-восстановительных работ</t>
  </si>
  <si>
    <t>Прочие межбюджетные трансферты передаваемые бюджетам поселений (распоряжение правительства ЕАО от 275-рп от 16.09.2013 на аварийно-востановительные работы из резервного фонда правительства ЕАО)</t>
  </si>
  <si>
    <t>116</t>
  </si>
  <si>
    <t>33000</t>
  </si>
  <si>
    <t>140</t>
  </si>
  <si>
    <t>33050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</si>
  <si>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</si>
  <si>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о размещении заказов на поставки товаров, выполнение работ, оказание услуг</t>
  </si>
  <si>
    <t>Денежные взыскания (штрафы) за нарушение законодательства о размещении заказов на поставки товаров, выполнение работ, оказание услуг для нужд поселений</t>
  </si>
  <si>
    <t xml:space="preserve">                                                                       к решению Собрания депутатов</t>
  </si>
  <si>
    <t xml:space="preserve">                                         к решению Собрания депутатов</t>
  </si>
  <si>
    <t xml:space="preserve">                                         Приложение № 1</t>
  </si>
  <si>
    <t>Прочие поступления от денежных взысканий (штрафов) и иных сумм в возмещение ущерба, зачисляемые в бюджеты поселений</t>
  </si>
  <si>
    <t>Прочие субвенции бюджетам поселений (на реализацию мер государственной поддержки граждан, утративших жилье)</t>
  </si>
  <si>
    <t>03999</t>
  </si>
  <si>
    <t>Прочие субвенции</t>
  </si>
  <si>
    <t>Прочие межбюджетные трансферты, передаваемые бюджетам поселений (на финансовое обеспечение мер по ликвидации последствий чрезвычайной ситуации на автомобильных дорогах общего пользования местного значения), поступившие из фонда непредвиденных расходов (резервного фонда) Еврейской автономной области</t>
  </si>
  <si>
    <t>Реализация мер государственной поддержки граждан, пострадавших в результате чрезвычайной ситуации, вызванной крупномасштабным наводнением на территории ЕАО в 2013 году</t>
  </si>
  <si>
    <t xml:space="preserve">521 02 08  </t>
  </si>
  <si>
    <t>Резервный фонд</t>
  </si>
  <si>
    <t>0700000</t>
  </si>
  <si>
    <t>Расходы резервного фонда на финансовое обеспечение мер по ликвидации последствий чрезвычайной ситуации на автомобильных дорогах общего пользования местного значения</t>
  </si>
  <si>
    <t>0700400</t>
  </si>
  <si>
    <t>Прочие межбюджетные трансферты, передаваемые бюджетам поселений (на финансовое обеспечение мер по ликвидации последствий чрезвычайной ситуации на гидротехнических сооружениях), поступившие из фонда непредвиденных расходов (резервного фонда) Российской Федерации по предупреждению и ликвидации черезвычайных ситуаций и последствий стихийных бедствий</t>
  </si>
  <si>
    <t>06</t>
  </si>
  <si>
    <t>0700300</t>
  </si>
  <si>
    <t>Расходы на финансовое обеспечение мер по ликвидации последствий черезвычайной ситуации на гидротехнических сооружениях</t>
  </si>
  <si>
    <t>Водное хозяйство</t>
  </si>
  <si>
    <t>90000</t>
  </si>
  <si>
    <t>90050</t>
  </si>
  <si>
    <t>Прочие поступления от денежных взысканий (штрафов) и иных сумм в возмещение ущерба</t>
  </si>
  <si>
    <t>Субсидии на софинансирование расходных обязательств муниципальных образований Еврейской автономной области, связанных с повышением оплаты труда работников муниципальных учреждений Еврейской автономной области с 01 октября 2013 года</t>
  </si>
  <si>
    <t>521 01 07</t>
  </si>
  <si>
    <t>521 00 00</t>
  </si>
  <si>
    <t>Межбюджетные трансферты</t>
  </si>
  <si>
    <t>Софинансирование расходных обязательств муниципальных образований Еврейской автономной области, связанных с повышением оплаты труда работников муниципальных учреждений Еврейской автономной области с 01 октября 2013 года</t>
  </si>
  <si>
    <t>Резервнй фонд местной администрации</t>
  </si>
  <si>
    <t>070 05 00</t>
  </si>
  <si>
    <t>Резервные средства</t>
  </si>
  <si>
    <t>870</t>
  </si>
  <si>
    <t xml:space="preserve">                                                                       Приложение № 2</t>
  </si>
  <si>
    <t>Приложение № 3</t>
  </si>
  <si>
    <t>от 31.12.2013 № 36</t>
  </si>
  <si>
    <t xml:space="preserve">                                         от 31.12.2013   № 36</t>
  </si>
  <si>
    <t xml:space="preserve">                                                                       от  31.12.2013 № 36</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</si>
</sst>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0000"/>
    <numFmt numFmtId="169" formatCode="0.00000"/>
    <numFmt numFmtId="170" formatCode="0.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_р_."/>
    <numFmt numFmtId="176" formatCode="#,##0.0_р_."/>
    <numFmt numFmtId="177" formatCode="#,##0.00_р_."/>
    <numFmt numFmtId="178" formatCode="#,##0.000_р_."/>
    <numFmt numFmtId="179" formatCode="#,##0.0000_р_."/>
    <numFmt numFmtId="180" formatCode="#,##0.00000_р_."/>
    <numFmt numFmtId="181" formatCode="#,##0.000000_р_."/>
    <numFmt numFmtId="182" formatCode="[$-FC19]d\ mmmm\ yyyy\ &quot;г.&quot;"/>
    <numFmt numFmtId="183" formatCode="#,##0.0000"/>
    <numFmt numFmtId="184" formatCode="#,##0.00000"/>
    <numFmt numFmtId="185" formatCode="#,##0.000000"/>
    <numFmt numFmtId="186" formatCode="_-* #,##0.000_р_._-;\-* #,##0.000_р_._-;_-* &quot;-&quot;??_р_._-;_-@_-"/>
    <numFmt numFmtId="187" formatCode="_-* #,##0.0000_р_._-;\-* #,##0.0000_р_._-;_-* &quot;-&quot;??_р_._-;_-@_-"/>
    <numFmt numFmtId="188" formatCode="_-* #,##0.0000_р_._-;\-* #,##0.0000_р_._-;_-* &quot;-&quot;????_р_._-;_-@_-"/>
    <numFmt numFmtId="189" formatCode="#,##0.0000000"/>
    <numFmt numFmtId="190" formatCode="0.0000000"/>
    <numFmt numFmtId="191" formatCode="0.00000000"/>
  </numFmts>
  <fonts count="57">
    <font>
      <sz val="10"/>
      <name val="Arial Cyr"/>
      <family val="0"/>
    </font>
    <font>
      <u val="single"/>
      <sz val="10"/>
      <color indexed="12"/>
      <name val="Arial Cyr"/>
      <family val="0"/>
    </font>
    <font>
      <u val="single"/>
      <sz val="10"/>
      <color indexed="36"/>
      <name val="Arial Cyr"/>
      <family val="0"/>
    </font>
    <font>
      <sz val="8"/>
      <name val="Arial Cyr"/>
      <family val="0"/>
    </font>
    <font>
      <sz val="12"/>
      <name val="Times New Roman"/>
      <family val="1"/>
    </font>
    <font>
      <sz val="12"/>
      <color indexed="8"/>
      <name val="Times New Roman"/>
      <family val="1"/>
    </font>
    <font>
      <i/>
      <sz val="12"/>
      <name val="Times New Roman"/>
      <family val="1"/>
    </font>
    <font>
      <b/>
      <sz val="12"/>
      <name val="Times New Roman"/>
      <family val="1"/>
    </font>
    <font>
      <b/>
      <sz val="12"/>
      <color indexed="8"/>
      <name val="Times New Roman"/>
      <family val="1"/>
    </font>
    <font>
      <sz val="11"/>
      <color indexed="8"/>
      <name val="Times New Roman"/>
      <family val="1"/>
    </font>
    <font>
      <sz val="10"/>
      <color indexed="8"/>
      <name val="Times New Roman"/>
      <family val="1"/>
    </font>
    <font>
      <sz val="10"/>
      <name val="Times New Roman"/>
      <family val="1"/>
    </font>
    <font>
      <b/>
      <sz val="10"/>
      <name val="Times New Roman"/>
      <family val="1"/>
    </font>
    <font>
      <i/>
      <sz val="10"/>
      <name val="Times New Roman"/>
      <family val="1"/>
    </font>
    <font>
      <b/>
      <i/>
      <sz val="10"/>
      <name val="Times New Roman"/>
      <family val="1"/>
    </font>
    <font>
      <i/>
      <sz val="10"/>
      <color indexed="8"/>
      <name val="Times New Roman"/>
      <family val="1"/>
    </font>
    <font>
      <b/>
      <sz val="10"/>
      <color indexed="8"/>
      <name val="Times New Roman"/>
      <family val="1"/>
    </font>
    <font>
      <sz val="11"/>
      <name val="Times New Roman"/>
      <family val="1"/>
    </font>
    <font>
      <b/>
      <sz val="11"/>
      <name val="Times New Roman"/>
      <family val="1"/>
    </font>
    <font>
      <b/>
      <i/>
      <sz val="11"/>
      <name val="Times New Roman"/>
      <family val="1"/>
    </font>
    <font>
      <b/>
      <i/>
      <sz val="10"/>
      <color indexed="8"/>
      <name val="Times New Roman"/>
      <family val="1"/>
    </font>
    <font>
      <b/>
      <i/>
      <sz val="12"/>
      <name val="Times New Roman"/>
      <family val="1"/>
    </font>
    <font>
      <sz val="10"/>
      <name val="Courier New"/>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82">
    <xf numFmtId="0" fontId="0" fillId="0" borderId="0" xfId="0"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Alignment="1">
      <alignment/>
    </xf>
    <xf numFmtId="0" fontId="4" fillId="0" borderId="0" xfId="0" applyFont="1" applyAlignment="1">
      <alignment horizontal="center" vertical="top" wrapText="1"/>
    </xf>
    <xf numFmtId="0" fontId="4" fillId="0" borderId="0" xfId="0" applyFont="1" applyFill="1" applyAlignment="1">
      <alignment/>
    </xf>
    <xf numFmtId="0" fontId="6" fillId="0" borderId="0" xfId="0" applyFont="1" applyAlignment="1">
      <alignment/>
    </xf>
    <xf numFmtId="49" fontId="5" fillId="0" borderId="0" xfId="0" applyNumberFormat="1" applyFont="1" applyFill="1" applyAlignment="1">
      <alignment vertical="top" wrapText="1"/>
    </xf>
    <xf numFmtId="0" fontId="7" fillId="0" borderId="0" xfId="0" applyFont="1" applyAlignment="1">
      <alignment/>
    </xf>
    <xf numFmtId="0" fontId="6" fillId="0" borderId="0" xfId="0" applyFont="1" applyFill="1" applyAlignment="1">
      <alignment/>
    </xf>
    <xf numFmtId="49" fontId="9" fillId="0" borderId="10" xfId="0" applyNumberFormat="1" applyFont="1" applyFill="1" applyBorder="1" applyAlignment="1">
      <alignment horizontal="center" wrapText="1"/>
    </xf>
    <xf numFmtId="0" fontId="11" fillId="0" borderId="11" xfId="0" applyFont="1" applyBorder="1" applyAlignment="1">
      <alignment horizontal="center" vertical="center" wrapText="1"/>
    </xf>
    <xf numFmtId="0" fontId="11" fillId="0" borderId="11" xfId="0" applyFont="1" applyBorder="1" applyAlignment="1">
      <alignment horizontal="center"/>
    </xf>
    <xf numFmtId="49" fontId="11" fillId="0" borderId="11" xfId="0" applyNumberFormat="1" applyFont="1" applyFill="1" applyBorder="1" applyAlignment="1">
      <alignment/>
    </xf>
    <xf numFmtId="49" fontId="5" fillId="0" borderId="0" xfId="0" applyNumberFormat="1" applyFont="1" applyAlignment="1">
      <alignment/>
    </xf>
    <xf numFmtId="0" fontId="17" fillId="0" borderId="0" xfId="0" applyFont="1" applyAlignment="1">
      <alignment/>
    </xf>
    <xf numFmtId="0" fontId="5" fillId="0" borderId="0" xfId="0" applyFont="1" applyAlignment="1">
      <alignment/>
    </xf>
    <xf numFmtId="49" fontId="5" fillId="0" borderId="0" xfId="0" applyNumberFormat="1" applyFont="1" applyAlignment="1">
      <alignment wrapText="1"/>
    </xf>
    <xf numFmtId="49" fontId="11" fillId="0" borderId="11" xfId="0" applyNumberFormat="1" applyFont="1" applyBorder="1" applyAlignment="1">
      <alignment horizontal="center" vertical="center"/>
    </xf>
    <xf numFmtId="49" fontId="11" fillId="0" borderId="11" xfId="0" applyNumberFormat="1" applyFont="1" applyBorder="1" applyAlignment="1">
      <alignment horizontal="center"/>
    </xf>
    <xf numFmtId="0" fontId="17" fillId="0" borderId="0" xfId="0" applyFont="1" applyAlignment="1">
      <alignment horizontal="center"/>
    </xf>
    <xf numFmtId="49" fontId="12" fillId="0" borderId="11" xfId="0" applyNumberFormat="1" applyFont="1" applyBorder="1" applyAlignment="1">
      <alignment horizontal="center" vertical="center"/>
    </xf>
    <xf numFmtId="0" fontId="18" fillId="0" borderId="0" xfId="0" applyFont="1" applyAlignment="1">
      <alignment/>
    </xf>
    <xf numFmtId="49" fontId="14" fillId="0" borderId="11" xfId="0" applyNumberFormat="1" applyFont="1" applyBorder="1" applyAlignment="1">
      <alignment horizontal="center" vertical="center"/>
    </xf>
    <xf numFmtId="0" fontId="19" fillId="0" borderId="0" xfId="0" applyFont="1" applyAlignment="1">
      <alignment/>
    </xf>
    <xf numFmtId="0" fontId="4" fillId="0" borderId="0" xfId="0" applyFont="1" applyAlignment="1">
      <alignment wrapText="1"/>
    </xf>
    <xf numFmtId="49" fontId="10" fillId="0" borderId="11" xfId="0" applyNumberFormat="1" applyFont="1" applyFill="1" applyBorder="1" applyAlignment="1">
      <alignment vertical="top" wrapText="1"/>
    </xf>
    <xf numFmtId="49" fontId="10" fillId="0" borderId="11" xfId="0" applyNumberFormat="1" applyFont="1" applyFill="1" applyBorder="1" applyAlignment="1">
      <alignment horizontal="center"/>
    </xf>
    <xf numFmtId="0" fontId="11" fillId="0" borderId="11" xfId="0" applyFont="1" applyFill="1" applyBorder="1" applyAlignment="1">
      <alignment horizontal="center" wrapText="1"/>
    </xf>
    <xf numFmtId="0" fontId="10" fillId="0" borderId="11" xfId="0" applyNumberFormat="1" applyFont="1" applyFill="1" applyBorder="1" applyAlignment="1">
      <alignment vertical="top" wrapText="1"/>
    </xf>
    <xf numFmtId="49" fontId="16" fillId="0" borderId="11" xfId="0" applyNumberFormat="1" applyFont="1" applyFill="1" applyBorder="1" applyAlignment="1">
      <alignment horizontal="left" vertical="top" wrapText="1"/>
    </xf>
    <xf numFmtId="0" fontId="7" fillId="0" borderId="0" xfId="0" applyFont="1" applyFill="1" applyBorder="1" applyAlignment="1">
      <alignment/>
    </xf>
    <xf numFmtId="49" fontId="20" fillId="0" borderId="11" xfId="0" applyNumberFormat="1" applyFont="1" applyFill="1" applyBorder="1" applyAlignment="1">
      <alignment vertical="top" wrapText="1"/>
    </xf>
    <xf numFmtId="0" fontId="21" fillId="0" borderId="0" xfId="0" applyFont="1" applyFill="1" applyAlignment="1">
      <alignment/>
    </xf>
    <xf numFmtId="49" fontId="20" fillId="0" borderId="11" xfId="0" applyNumberFormat="1" applyFont="1" applyFill="1" applyBorder="1" applyAlignment="1">
      <alignment horizontal="center"/>
    </xf>
    <xf numFmtId="49" fontId="20" fillId="0" borderId="11" xfId="0" applyNumberFormat="1" applyFont="1" applyFill="1" applyBorder="1" applyAlignment="1">
      <alignment horizontal="center" wrapText="1"/>
    </xf>
    <xf numFmtId="49" fontId="16" fillId="0" borderId="12" xfId="0" applyNumberFormat="1" applyFont="1" applyFill="1" applyBorder="1" applyAlignment="1">
      <alignment vertical="top" wrapText="1"/>
    </xf>
    <xf numFmtId="49" fontId="16" fillId="0" borderId="12" xfId="0" applyNumberFormat="1" applyFont="1" applyFill="1" applyBorder="1" applyAlignment="1">
      <alignment horizontal="center"/>
    </xf>
    <xf numFmtId="0" fontId="7" fillId="0" borderId="0" xfId="0" applyFont="1" applyFill="1" applyAlignment="1">
      <alignment/>
    </xf>
    <xf numFmtId="0" fontId="21" fillId="0" borderId="0" xfId="0" applyFont="1" applyAlignment="1">
      <alignment/>
    </xf>
    <xf numFmtId="49" fontId="16" fillId="0" borderId="11" xfId="0" applyNumberFormat="1" applyFont="1" applyFill="1" applyBorder="1" applyAlignment="1">
      <alignment vertical="top" wrapText="1"/>
    </xf>
    <xf numFmtId="49" fontId="16" fillId="0" borderId="11" xfId="0" applyNumberFormat="1" applyFont="1" applyFill="1" applyBorder="1" applyAlignment="1">
      <alignment horizontal="center"/>
    </xf>
    <xf numFmtId="49" fontId="16" fillId="0" borderId="11" xfId="0" applyNumberFormat="1" applyFont="1" applyFill="1" applyBorder="1" applyAlignment="1">
      <alignment horizontal="center" wrapText="1"/>
    </xf>
    <xf numFmtId="0" fontId="20" fillId="0" borderId="11" xfId="0" applyFont="1" applyFill="1" applyBorder="1" applyAlignment="1">
      <alignment vertical="top" wrapText="1"/>
    </xf>
    <xf numFmtId="49" fontId="15" fillId="0" borderId="11" xfId="0" applyNumberFormat="1" applyFont="1" applyFill="1" applyBorder="1" applyAlignment="1">
      <alignment horizontal="center"/>
    </xf>
    <xf numFmtId="49" fontId="10" fillId="0" borderId="13" xfId="0" applyNumberFormat="1" applyFont="1" applyFill="1" applyBorder="1" applyAlignment="1">
      <alignment vertical="top" wrapText="1"/>
    </xf>
    <xf numFmtId="49" fontId="16" fillId="0" borderId="13" xfId="0" applyNumberFormat="1" applyFont="1" applyFill="1" applyBorder="1" applyAlignment="1">
      <alignment vertical="top" wrapText="1"/>
    </xf>
    <xf numFmtId="49" fontId="16" fillId="0" borderId="10" xfId="0" applyNumberFormat="1" applyFont="1" applyFill="1" applyBorder="1" applyAlignment="1">
      <alignment horizontal="center" wrapText="1"/>
    </xf>
    <xf numFmtId="49" fontId="10" fillId="0" borderId="10" xfId="0" applyNumberFormat="1" applyFont="1" applyFill="1" applyBorder="1" applyAlignment="1">
      <alignment horizontal="center" wrapText="1"/>
    </xf>
    <xf numFmtId="49" fontId="11" fillId="0" borderId="11" xfId="0" applyNumberFormat="1" applyFont="1" applyFill="1" applyBorder="1" applyAlignment="1">
      <alignment vertical="top" wrapText="1"/>
    </xf>
    <xf numFmtId="49" fontId="10" fillId="0" borderId="11" xfId="0" applyNumberFormat="1" applyFont="1" applyFill="1" applyBorder="1" applyAlignment="1">
      <alignment horizontal="center" wrapText="1"/>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left" vertical="top" wrapText="1"/>
    </xf>
    <xf numFmtId="49" fontId="20" fillId="0" borderId="10" xfId="0" applyNumberFormat="1" applyFont="1" applyFill="1" applyBorder="1" applyAlignment="1">
      <alignment horizontal="center" wrapText="1"/>
    </xf>
    <xf numFmtId="49" fontId="10" fillId="0" borderId="12" xfId="0" applyNumberFormat="1" applyFont="1" applyFill="1" applyBorder="1" applyAlignment="1">
      <alignment vertical="top" wrapText="1"/>
    </xf>
    <xf numFmtId="49" fontId="13" fillId="0" borderId="11" xfId="0" applyNumberFormat="1" applyFont="1" applyFill="1" applyBorder="1" applyAlignment="1">
      <alignment horizontal="left" vertical="top" wrapText="1"/>
    </xf>
    <xf numFmtId="49" fontId="15" fillId="0" borderId="13" xfId="0" applyNumberFormat="1" applyFont="1" applyFill="1" applyBorder="1" applyAlignment="1">
      <alignment vertical="top" wrapText="1"/>
    </xf>
    <xf numFmtId="49" fontId="5" fillId="0" borderId="0" xfId="0" applyNumberFormat="1" applyFont="1" applyFill="1" applyAlignment="1">
      <alignment horizontal="center"/>
    </xf>
    <xf numFmtId="2" fontId="16" fillId="0" borderId="11" xfId="0" applyNumberFormat="1" applyFont="1" applyFill="1" applyBorder="1" applyAlignment="1">
      <alignment horizontal="center"/>
    </xf>
    <xf numFmtId="2" fontId="20" fillId="0" borderId="11" xfId="0" applyNumberFormat="1" applyFont="1" applyFill="1" applyBorder="1" applyAlignment="1">
      <alignment horizontal="center"/>
    </xf>
    <xf numFmtId="2" fontId="10" fillId="0" borderId="11" xfId="0" applyNumberFormat="1" applyFont="1" applyFill="1" applyBorder="1" applyAlignment="1">
      <alignment horizontal="center"/>
    </xf>
    <xf numFmtId="2" fontId="11" fillId="0" borderId="11" xfId="0" applyNumberFormat="1" applyFont="1" applyFill="1" applyBorder="1" applyAlignment="1">
      <alignment horizontal="center"/>
    </xf>
    <xf numFmtId="2" fontId="12" fillId="0" borderId="11" xfId="0" applyNumberFormat="1" applyFont="1" applyFill="1" applyBorder="1" applyAlignment="1">
      <alignment horizontal="center"/>
    </xf>
    <xf numFmtId="2" fontId="13" fillId="0" borderId="11" xfId="0" applyNumberFormat="1" applyFont="1" applyFill="1" applyBorder="1" applyAlignment="1">
      <alignment horizontal="center"/>
    </xf>
    <xf numFmtId="2" fontId="15" fillId="0" borderId="11" xfId="0" applyNumberFormat="1" applyFont="1" applyFill="1" applyBorder="1" applyAlignment="1">
      <alignment horizontal="center"/>
    </xf>
    <xf numFmtId="0" fontId="11" fillId="0" borderId="10" xfId="0" applyFont="1" applyFill="1" applyBorder="1" applyAlignment="1">
      <alignment vertical="top" wrapText="1"/>
    </xf>
    <xf numFmtId="0" fontId="11" fillId="0" borderId="11"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14" fillId="0" borderId="10" xfId="0" applyFont="1" applyFill="1" applyBorder="1" applyAlignment="1">
      <alignmen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168" fontId="11" fillId="0" borderId="11" xfId="0" applyNumberFormat="1" applyFont="1" applyFill="1" applyBorder="1" applyAlignment="1">
      <alignment horizontal="center"/>
    </xf>
    <xf numFmtId="168" fontId="10" fillId="0" borderId="11" xfId="0" applyNumberFormat="1" applyFont="1" applyFill="1" applyBorder="1" applyAlignment="1">
      <alignment horizontal="center" vertical="center"/>
    </xf>
    <xf numFmtId="168" fontId="16" fillId="0" borderId="11" xfId="0" applyNumberFormat="1" applyFont="1" applyFill="1" applyBorder="1" applyAlignment="1">
      <alignment horizontal="center" vertical="center"/>
    </xf>
    <xf numFmtId="168" fontId="11" fillId="0" borderId="11" xfId="0" applyNumberFormat="1" applyFont="1" applyFill="1" applyBorder="1" applyAlignment="1">
      <alignment horizontal="center" vertical="center"/>
    </xf>
    <xf numFmtId="168" fontId="20" fillId="0" borderId="11" xfId="0" applyNumberFormat="1" applyFont="1" applyFill="1" applyBorder="1" applyAlignment="1">
      <alignment horizontal="center" vertical="center"/>
    </xf>
    <xf numFmtId="49" fontId="5" fillId="0" borderId="0" xfId="0" applyNumberFormat="1" applyFont="1" applyFill="1" applyAlignment="1">
      <alignment horizontal="left"/>
    </xf>
    <xf numFmtId="166" fontId="10" fillId="0" borderId="11" xfId="0" applyNumberFormat="1" applyFont="1" applyFill="1" applyBorder="1" applyAlignment="1">
      <alignment horizontal="center"/>
    </xf>
    <xf numFmtId="167" fontId="4" fillId="0" borderId="0" xfId="0" applyNumberFormat="1"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168" fontId="16" fillId="0" borderId="11" xfId="0" applyNumberFormat="1" applyFont="1" applyFill="1" applyBorder="1" applyAlignment="1">
      <alignment horizontal="center"/>
    </xf>
    <xf numFmtId="168" fontId="20" fillId="0" borderId="11" xfId="0" applyNumberFormat="1" applyFont="1" applyFill="1" applyBorder="1" applyAlignment="1">
      <alignment horizontal="center"/>
    </xf>
    <xf numFmtId="168" fontId="10" fillId="0" borderId="11" xfId="0" applyNumberFormat="1" applyFont="1" applyFill="1" applyBorder="1" applyAlignment="1">
      <alignment horizontal="center"/>
    </xf>
    <xf numFmtId="168" fontId="12" fillId="0" borderId="11" xfId="0" applyNumberFormat="1" applyFont="1" applyFill="1" applyBorder="1" applyAlignment="1">
      <alignment horizontal="center"/>
    </xf>
    <xf numFmtId="0" fontId="11" fillId="0" borderId="0" xfId="0" applyFont="1" applyFill="1" applyAlignment="1">
      <alignment horizontal="center"/>
    </xf>
    <xf numFmtId="167"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1" xfId="0" applyFont="1" applyFill="1" applyBorder="1" applyAlignment="1">
      <alignment horizontal="center"/>
    </xf>
    <xf numFmtId="168" fontId="14" fillId="0" borderId="11" xfId="0" applyNumberFormat="1" applyFont="1" applyFill="1" applyBorder="1" applyAlignment="1">
      <alignment horizontal="center"/>
    </xf>
    <xf numFmtId="2" fontId="14" fillId="0" borderId="11" xfId="0" applyNumberFormat="1" applyFont="1" applyFill="1" applyBorder="1" applyAlignment="1">
      <alignment horizontal="center"/>
    </xf>
    <xf numFmtId="0" fontId="13" fillId="0" borderId="11" xfId="0" applyFont="1" applyFill="1" applyBorder="1" applyAlignment="1">
      <alignment horizontal="center"/>
    </xf>
    <xf numFmtId="0" fontId="12" fillId="0" borderId="11" xfId="0" applyFont="1" applyFill="1" applyBorder="1" applyAlignment="1">
      <alignment horizontal="center"/>
    </xf>
    <xf numFmtId="168" fontId="13" fillId="0" borderId="11" xfId="0" applyNumberFormat="1" applyFont="1" applyFill="1" applyBorder="1" applyAlignment="1">
      <alignment horizontal="center"/>
    </xf>
    <xf numFmtId="166" fontId="14" fillId="0" borderId="11" xfId="0" applyNumberFormat="1" applyFont="1" applyFill="1" applyBorder="1" applyAlignment="1">
      <alignment horizontal="center"/>
    </xf>
    <xf numFmtId="168" fontId="11" fillId="0" borderId="0" xfId="0" applyNumberFormat="1" applyFont="1" applyFill="1" applyAlignment="1">
      <alignment horizontal="center"/>
    </xf>
    <xf numFmtId="0" fontId="13" fillId="0" borderId="0" xfId="0" applyFont="1" applyFill="1" applyAlignment="1">
      <alignment horizontal="center"/>
    </xf>
    <xf numFmtId="49" fontId="10" fillId="0" borderId="11" xfId="0" applyNumberFormat="1" applyFont="1" applyFill="1" applyBorder="1" applyAlignment="1">
      <alignment horizontal="center" vertical="center"/>
    </xf>
    <xf numFmtId="167" fontId="11" fillId="0" borderId="11" xfId="0" applyNumberFormat="1" applyFont="1" applyFill="1" applyBorder="1" applyAlignment="1">
      <alignment horizontal="center"/>
    </xf>
    <xf numFmtId="167" fontId="11" fillId="0" borderId="11" xfId="0" applyNumberFormat="1" applyFont="1" applyFill="1" applyBorder="1" applyAlignment="1">
      <alignment horizontal="center" wrapText="1"/>
    </xf>
    <xf numFmtId="1" fontId="11" fillId="0" borderId="11" xfId="0" applyNumberFormat="1" applyFont="1" applyFill="1" applyBorder="1" applyAlignment="1">
      <alignment horizontal="center"/>
    </xf>
    <xf numFmtId="49" fontId="12"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wrapText="1"/>
    </xf>
    <xf numFmtId="49" fontId="1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wrapText="1"/>
    </xf>
    <xf numFmtId="49" fontId="11" fillId="0" borderId="11" xfId="0" applyNumberFormat="1" applyFont="1" applyFill="1" applyBorder="1" applyAlignment="1">
      <alignment horizontal="center" vertical="top" wrapText="1"/>
    </xf>
    <xf numFmtId="0" fontId="11" fillId="0" borderId="11" xfId="0" applyFont="1" applyFill="1" applyBorder="1" applyAlignment="1">
      <alignment vertical="top" wrapText="1"/>
    </xf>
    <xf numFmtId="49" fontId="14" fillId="0" borderId="11" xfId="0" applyNumberFormat="1" applyFont="1" applyFill="1" applyBorder="1" applyAlignment="1">
      <alignment horizontal="center"/>
    </xf>
    <xf numFmtId="49" fontId="11" fillId="0" borderId="11" xfId="0" applyNumberFormat="1" applyFont="1" applyFill="1" applyBorder="1" applyAlignment="1">
      <alignment horizontal="center" vertical="center"/>
    </xf>
    <xf numFmtId="0" fontId="14" fillId="0" borderId="11" xfId="0" applyFont="1" applyFill="1" applyBorder="1" applyAlignment="1">
      <alignment vertical="top" wrapText="1"/>
    </xf>
    <xf numFmtId="0" fontId="11" fillId="0" borderId="11" xfId="0" applyFont="1" applyBorder="1" applyAlignment="1">
      <alignment horizontal="center" vertical="center"/>
    </xf>
    <xf numFmtId="49" fontId="12" fillId="0" borderId="11" xfId="0" applyNumberFormat="1" applyFont="1" applyFill="1" applyBorder="1" applyAlignment="1">
      <alignment horizontal="center"/>
    </xf>
    <xf numFmtId="0" fontId="12" fillId="0" borderId="11" xfId="0" applyFont="1" applyFill="1" applyBorder="1" applyAlignment="1">
      <alignment vertical="top" wrapText="1"/>
    </xf>
    <xf numFmtId="0" fontId="11" fillId="0" borderId="12" xfId="0" applyFont="1" applyFill="1" applyBorder="1" applyAlignment="1">
      <alignment vertical="top" wrapText="1"/>
    </xf>
    <xf numFmtId="0" fontId="11" fillId="0" borderId="0" xfId="0" applyFont="1" applyFill="1" applyAlignment="1">
      <alignment/>
    </xf>
    <xf numFmtId="167" fontId="11" fillId="0" borderId="0" xfId="0" applyNumberFormat="1" applyFont="1" applyFill="1" applyAlignment="1">
      <alignment horizontal="center"/>
    </xf>
    <xf numFmtId="0" fontId="6" fillId="0" borderId="0" xfId="0" applyFont="1" applyFill="1" applyAlignment="1">
      <alignment horizontal="center"/>
    </xf>
    <xf numFmtId="167" fontId="13" fillId="0" borderId="0" xfId="0" applyNumberFormat="1" applyFont="1" applyFill="1" applyAlignment="1">
      <alignment horizontal="center"/>
    </xf>
    <xf numFmtId="49" fontId="4" fillId="0" borderId="0" xfId="0" applyNumberFormat="1" applyFont="1" applyFill="1" applyAlignment="1">
      <alignment horizontal="center"/>
    </xf>
    <xf numFmtId="164" fontId="5" fillId="0" borderId="0" xfId="0" applyNumberFormat="1" applyFont="1" applyAlignment="1">
      <alignment/>
    </xf>
    <xf numFmtId="0" fontId="4" fillId="0" borderId="0" xfId="0" applyFont="1" applyAlignment="1">
      <alignment horizontal="center" vertical="center"/>
    </xf>
    <xf numFmtId="0" fontId="11" fillId="0" borderId="0" xfId="0" applyFont="1" applyBorder="1" applyAlignment="1">
      <alignment/>
    </xf>
    <xf numFmtId="0" fontId="11" fillId="0" borderId="0" xfId="0" applyFont="1" applyAlignment="1">
      <alignment horizontal="center" vertical="center"/>
    </xf>
    <xf numFmtId="0" fontId="11" fillId="0" borderId="0" xfId="0" applyFont="1" applyAlignment="1">
      <alignment/>
    </xf>
    <xf numFmtId="0" fontId="11" fillId="0" borderId="0" xfId="0" applyFont="1" applyAlignment="1">
      <alignment horizontal="center"/>
    </xf>
    <xf numFmtId="49" fontId="12" fillId="0" borderId="11" xfId="0" applyNumberFormat="1" applyFont="1" applyBorder="1" applyAlignment="1">
      <alignment/>
    </xf>
    <xf numFmtId="0" fontId="12" fillId="0" borderId="11" xfId="0" applyFont="1" applyBorder="1" applyAlignment="1">
      <alignment/>
    </xf>
    <xf numFmtId="176" fontId="12" fillId="0" borderId="11" xfId="0" applyNumberFormat="1" applyFont="1" applyBorder="1" applyAlignment="1">
      <alignment horizontal="center" vertical="center"/>
    </xf>
    <xf numFmtId="0" fontId="13" fillId="0" borderId="0" xfId="0" applyFont="1" applyAlignment="1">
      <alignment/>
    </xf>
    <xf numFmtId="49" fontId="13" fillId="0" borderId="11" xfId="0" applyNumberFormat="1" applyFont="1" applyBorder="1" applyAlignment="1">
      <alignment/>
    </xf>
    <xf numFmtId="0" fontId="13" fillId="0" borderId="11" xfId="0" applyFont="1" applyBorder="1" applyAlignment="1">
      <alignment wrapText="1"/>
    </xf>
    <xf numFmtId="176" fontId="13" fillId="0" borderId="11" xfId="0" applyNumberFormat="1" applyFont="1" applyBorder="1" applyAlignment="1">
      <alignment horizontal="center" vertical="center"/>
    </xf>
    <xf numFmtId="49" fontId="11" fillId="0" borderId="11" xfId="0" applyNumberFormat="1" applyFont="1" applyBorder="1" applyAlignment="1">
      <alignment/>
    </xf>
    <xf numFmtId="0" fontId="11" fillId="0" borderId="11" xfId="0" applyFont="1" applyBorder="1" applyAlignment="1">
      <alignment vertical="top" wrapText="1"/>
    </xf>
    <xf numFmtId="176" fontId="11" fillId="0" borderId="11"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xf>
    <xf numFmtId="0" fontId="11" fillId="0" borderId="11" xfId="0" applyFont="1" applyBorder="1" applyAlignment="1">
      <alignment wrapText="1"/>
    </xf>
    <xf numFmtId="0" fontId="10" fillId="0" borderId="11" xfId="0" applyFont="1" applyBorder="1" applyAlignment="1">
      <alignment vertical="top" wrapText="1"/>
    </xf>
    <xf numFmtId="0" fontId="12" fillId="0" borderId="11" xfId="0" applyFont="1" applyBorder="1" applyAlignment="1">
      <alignment wrapText="1"/>
    </xf>
    <xf numFmtId="49" fontId="13" fillId="0" borderId="11" xfId="0" applyNumberFormat="1" applyFont="1" applyFill="1" applyBorder="1" applyAlignment="1">
      <alignment/>
    </xf>
    <xf numFmtId="0" fontId="15" fillId="0" borderId="11" xfId="0" applyFont="1" applyBorder="1" applyAlignment="1">
      <alignment vertical="top" wrapText="1"/>
    </xf>
    <xf numFmtId="176" fontId="13" fillId="0" borderId="11" xfId="0" applyNumberFormat="1" applyFont="1" applyFill="1" applyBorder="1" applyAlignment="1">
      <alignment horizontal="center" vertical="center"/>
    </xf>
    <xf numFmtId="0" fontId="14" fillId="0" borderId="0" xfId="0" applyFont="1" applyBorder="1" applyAlignment="1">
      <alignment/>
    </xf>
    <xf numFmtId="176" fontId="11" fillId="0" borderId="11"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xf>
    <xf numFmtId="0" fontId="15" fillId="0" borderId="11" xfId="0" applyFont="1" applyBorder="1" applyAlignment="1">
      <alignment wrapText="1"/>
    </xf>
    <xf numFmtId="0" fontId="13" fillId="0" borderId="11" xfId="0" applyFont="1" applyBorder="1" applyAlignment="1">
      <alignment horizontal="center" vertical="center"/>
    </xf>
    <xf numFmtId="0" fontId="10" fillId="0" borderId="11" xfId="0" applyFont="1" applyBorder="1" applyAlignment="1">
      <alignment wrapText="1"/>
    </xf>
    <xf numFmtId="49" fontId="12" fillId="0" borderId="11" xfId="0" applyNumberFormat="1" applyFont="1" applyFill="1" applyBorder="1" applyAlignment="1">
      <alignment/>
    </xf>
    <xf numFmtId="0" fontId="12" fillId="0" borderId="11" xfId="0" applyFont="1" applyBorder="1" applyAlignment="1">
      <alignment vertical="top" wrapText="1"/>
    </xf>
    <xf numFmtId="0" fontId="12" fillId="0" borderId="0" xfId="0" applyFont="1" applyAlignment="1">
      <alignment/>
    </xf>
    <xf numFmtId="0" fontId="16" fillId="0" borderId="11" xfId="0" applyFont="1" applyBorder="1" applyAlignment="1">
      <alignment wrapText="1"/>
    </xf>
    <xf numFmtId="0" fontId="10" fillId="0" borderId="11" xfId="0" applyFont="1" applyBorder="1" applyAlignment="1">
      <alignment horizontal="left" wrapText="1"/>
    </xf>
    <xf numFmtId="0" fontId="22" fillId="0" borderId="11" xfId="0" applyFont="1" applyBorder="1" applyAlignment="1">
      <alignment horizontal="center" vertical="center"/>
    </xf>
    <xf numFmtId="0" fontId="15" fillId="0" borderId="11" xfId="0" applyFont="1" applyFill="1" applyBorder="1" applyAlignment="1">
      <alignment horizontal="left" wrapText="1"/>
    </xf>
    <xf numFmtId="0" fontId="13" fillId="0" borderId="11" xfId="0" applyFont="1" applyFill="1" applyBorder="1" applyAlignment="1">
      <alignment horizontal="center" vertical="center"/>
    </xf>
    <xf numFmtId="0" fontId="13" fillId="0" borderId="0" xfId="0" applyFont="1" applyFill="1" applyAlignment="1">
      <alignment/>
    </xf>
    <xf numFmtId="0" fontId="16" fillId="0" borderId="11" xfId="0" applyFont="1" applyBorder="1" applyAlignment="1">
      <alignment vertical="top" wrapText="1"/>
    </xf>
    <xf numFmtId="49" fontId="11" fillId="33" borderId="11" xfId="0" applyNumberFormat="1" applyFont="1" applyFill="1" applyBorder="1" applyAlignment="1">
      <alignment wrapText="1"/>
    </xf>
    <xf numFmtId="0" fontId="16" fillId="0" borderId="11" xfId="0" applyFont="1" applyBorder="1" applyAlignment="1">
      <alignment horizontal="left" wrapText="1"/>
    </xf>
    <xf numFmtId="176" fontId="16" fillId="0" borderId="11" xfId="0" applyNumberFormat="1" applyFont="1" applyFill="1" applyBorder="1" applyAlignment="1">
      <alignment horizontal="center" vertical="center" wrapText="1"/>
    </xf>
    <xf numFmtId="176" fontId="12" fillId="0" borderId="11" xfId="0" applyNumberFormat="1" applyFont="1" applyFill="1" applyBorder="1" applyAlignment="1">
      <alignment horizontal="center" vertical="center" wrapText="1"/>
    </xf>
    <xf numFmtId="49" fontId="12" fillId="0" borderId="11" xfId="0" applyNumberFormat="1" applyFont="1" applyBorder="1" applyAlignment="1">
      <alignment horizontal="center" wrapText="1"/>
    </xf>
    <xf numFmtId="49" fontId="12" fillId="0" borderId="11" xfId="0" applyNumberFormat="1" applyFont="1" applyBorder="1" applyAlignment="1">
      <alignment horizontal="left" wrapText="1"/>
    </xf>
    <xf numFmtId="0" fontId="11" fillId="0" borderId="11" xfId="0" applyFont="1" applyBorder="1" applyAlignment="1">
      <alignment horizontal="left" vertical="top" wrapText="1"/>
    </xf>
    <xf numFmtId="176" fontId="11" fillId="0" borderId="11" xfId="0" applyNumberFormat="1" applyFont="1" applyFill="1" applyBorder="1" applyAlignment="1">
      <alignment horizontal="center" vertical="center" wrapText="1"/>
    </xf>
    <xf numFmtId="0" fontId="12" fillId="0" borderId="11" xfId="0" applyFont="1" applyBorder="1" applyAlignment="1">
      <alignment horizontal="left" vertical="top" wrapText="1"/>
    </xf>
    <xf numFmtId="0" fontId="13" fillId="0" borderId="11" xfId="0" applyFont="1" applyBorder="1" applyAlignment="1">
      <alignment horizontal="left" vertical="top" wrapText="1"/>
    </xf>
    <xf numFmtId="176" fontId="13" fillId="0" borderId="11" xfId="0" applyNumberFormat="1" applyFont="1" applyFill="1" applyBorder="1" applyAlignment="1">
      <alignment horizontal="center" vertical="center" wrapText="1"/>
    </xf>
    <xf numFmtId="0" fontId="11" fillId="0" borderId="0" xfId="0" applyFont="1" applyAlignment="1">
      <alignment wrapText="1"/>
    </xf>
    <xf numFmtId="178" fontId="11" fillId="0" borderId="11" xfId="0" applyNumberFormat="1" applyFont="1" applyFill="1" applyBorder="1" applyAlignment="1">
      <alignment horizontal="center" vertical="center" wrapText="1"/>
    </xf>
    <xf numFmtId="178" fontId="12"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11" fillId="0" borderId="11" xfId="0" applyFont="1" applyFill="1" applyBorder="1" applyAlignment="1">
      <alignment horizontal="left" vertical="top" wrapText="1"/>
    </xf>
    <xf numFmtId="0" fontId="13" fillId="0" borderId="11" xfId="0" applyNumberFormat="1" applyFont="1" applyBorder="1" applyAlignment="1">
      <alignment horizontal="left" vertical="top" wrapText="1"/>
    </xf>
    <xf numFmtId="49" fontId="13" fillId="0" borderId="11" xfId="0" applyNumberFormat="1" applyFont="1" applyBorder="1" applyAlignment="1">
      <alignment horizontal="left" vertical="top" wrapText="1"/>
    </xf>
    <xf numFmtId="176" fontId="15" fillId="0" borderId="11" xfId="0" applyNumberFormat="1" applyFont="1" applyFill="1" applyBorder="1" applyAlignment="1">
      <alignment horizontal="center" vertical="center" wrapText="1"/>
    </xf>
    <xf numFmtId="0" fontId="11" fillId="0" borderId="11" xfId="0" applyNumberFormat="1" applyFont="1" applyBorder="1" applyAlignment="1">
      <alignment horizontal="left" vertical="top" wrapText="1"/>
    </xf>
    <xf numFmtId="0" fontId="12" fillId="0" borderId="11" xfId="0" applyNumberFormat="1" applyFont="1" applyBorder="1" applyAlignment="1">
      <alignment horizontal="left" vertical="top" wrapText="1"/>
    </xf>
    <xf numFmtId="178" fontId="12" fillId="0" borderId="11" xfId="0" applyNumberFormat="1" applyFont="1" applyFill="1" applyBorder="1" applyAlignment="1">
      <alignment horizontal="center" vertical="center"/>
    </xf>
    <xf numFmtId="178" fontId="12" fillId="0" borderId="0" xfId="0" applyNumberFormat="1" applyFont="1" applyBorder="1" applyAlignment="1">
      <alignment horizontal="center" vertical="center"/>
    </xf>
    <xf numFmtId="178" fontId="11" fillId="0" borderId="0" xfId="0" applyNumberFormat="1" applyFont="1" applyAlignment="1">
      <alignment horizontal="center" vertical="center"/>
    </xf>
    <xf numFmtId="0" fontId="11" fillId="0" borderId="0" xfId="0" applyFont="1" applyBorder="1" applyAlignment="1">
      <alignment horizontal="center" vertical="center"/>
    </xf>
    <xf numFmtId="166" fontId="11" fillId="0" borderId="0" xfId="0" applyNumberFormat="1" applyFont="1" applyBorder="1" applyAlignment="1">
      <alignment horizontal="center" vertical="center"/>
    </xf>
    <xf numFmtId="0" fontId="11" fillId="0" borderId="11" xfId="0" applyFont="1" applyBorder="1" applyAlignment="1">
      <alignment/>
    </xf>
    <xf numFmtId="179" fontId="12" fillId="0" borderId="11" xfId="0" applyNumberFormat="1" applyFont="1" applyFill="1" applyBorder="1" applyAlignment="1">
      <alignment horizontal="center" vertical="center"/>
    </xf>
    <xf numFmtId="178" fontId="13" fillId="0" borderId="11" xfId="0" applyNumberFormat="1" applyFont="1" applyBorder="1" applyAlignment="1">
      <alignment horizontal="center" vertical="center"/>
    </xf>
    <xf numFmtId="178" fontId="14" fillId="0" borderId="11" xfId="0" applyNumberFormat="1" applyFont="1" applyBorder="1" applyAlignment="1">
      <alignment horizontal="center" vertical="center"/>
    </xf>
    <xf numFmtId="178" fontId="13" fillId="0" borderId="11" xfId="0" applyNumberFormat="1" applyFont="1" applyFill="1" applyBorder="1" applyAlignment="1">
      <alignment horizontal="center" vertical="center"/>
    </xf>
    <xf numFmtId="178" fontId="16" fillId="0" borderId="11" xfId="0" applyNumberFormat="1" applyFont="1" applyFill="1" applyBorder="1" applyAlignment="1">
      <alignment horizontal="center" vertical="center" wrapText="1"/>
    </xf>
    <xf numFmtId="178" fontId="12" fillId="0" borderId="11" xfId="0" applyNumberFormat="1" applyFont="1" applyFill="1" applyBorder="1" applyAlignment="1">
      <alignment horizontal="center" vertical="center" wrapText="1"/>
    </xf>
    <xf numFmtId="178" fontId="13" fillId="0" borderId="11" xfId="0" applyNumberFormat="1" applyFont="1" applyFill="1" applyBorder="1" applyAlignment="1">
      <alignment horizontal="center" vertical="center" wrapText="1"/>
    </xf>
    <xf numFmtId="178" fontId="15" fillId="0" borderId="11" xfId="0" applyNumberFormat="1" applyFont="1" applyFill="1" applyBorder="1" applyAlignment="1">
      <alignment horizontal="center" vertical="center" wrapText="1"/>
    </xf>
    <xf numFmtId="0" fontId="4" fillId="0" borderId="11" xfId="0" applyFont="1" applyBorder="1" applyAlignment="1">
      <alignment horizontal="center" vertical="top" wrapText="1"/>
    </xf>
    <xf numFmtId="168" fontId="4" fillId="0" borderId="0" xfId="0" applyNumberFormat="1" applyFont="1" applyAlignment="1">
      <alignment/>
    </xf>
    <xf numFmtId="168" fontId="11" fillId="0" borderId="0" xfId="0" applyNumberFormat="1" applyFont="1" applyAlignment="1">
      <alignment/>
    </xf>
    <xf numFmtId="0" fontId="11" fillId="0" borderId="11" xfId="0" applyNumberFormat="1" applyFont="1" applyFill="1" applyBorder="1" applyAlignment="1">
      <alignment horizontal="left" vertical="top" wrapText="1"/>
    </xf>
    <xf numFmtId="0" fontId="12" fillId="0" borderId="11" xfId="0"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2" fillId="0" borderId="0" xfId="0" applyFont="1" applyFill="1" applyAlignment="1">
      <alignment/>
    </xf>
    <xf numFmtId="0" fontId="11" fillId="0" borderId="11" xfId="0" applyFont="1" applyFill="1" applyBorder="1" applyAlignment="1">
      <alignment horizontal="center" vertical="center"/>
    </xf>
    <xf numFmtId="166" fontId="11" fillId="0" borderId="11" xfId="0" applyNumberFormat="1" applyFont="1" applyFill="1" applyBorder="1" applyAlignment="1">
      <alignment horizontal="center"/>
    </xf>
    <xf numFmtId="0" fontId="11" fillId="0" borderId="0" xfId="0" applyFont="1" applyFill="1" applyAlignment="1">
      <alignment wrapText="1"/>
    </xf>
    <xf numFmtId="170" fontId="16" fillId="0" borderId="11" xfId="0" applyNumberFormat="1" applyFont="1" applyFill="1" applyBorder="1" applyAlignment="1">
      <alignment horizontal="center"/>
    </xf>
    <xf numFmtId="170" fontId="20" fillId="0" borderId="11" xfId="0" applyNumberFormat="1" applyFont="1" applyFill="1" applyBorder="1" applyAlignment="1">
      <alignment horizontal="center"/>
    </xf>
    <xf numFmtId="170" fontId="10" fillId="0" borderId="11" xfId="0" applyNumberFormat="1" applyFont="1" applyFill="1" applyBorder="1" applyAlignment="1">
      <alignment horizontal="center"/>
    </xf>
    <xf numFmtId="170" fontId="11" fillId="0" borderId="11" xfId="0" applyNumberFormat="1" applyFont="1" applyFill="1" applyBorder="1" applyAlignment="1">
      <alignment horizontal="center"/>
    </xf>
    <xf numFmtId="170" fontId="14" fillId="0" borderId="11" xfId="0" applyNumberFormat="1" applyFont="1" applyFill="1" applyBorder="1" applyAlignment="1">
      <alignment horizontal="center"/>
    </xf>
    <xf numFmtId="170" fontId="12" fillId="0" borderId="11" xfId="0" applyNumberFormat="1" applyFont="1" applyFill="1" applyBorder="1" applyAlignment="1">
      <alignment horizontal="center"/>
    </xf>
    <xf numFmtId="170" fontId="20" fillId="0" borderId="11" xfId="0" applyNumberFormat="1" applyFont="1" applyFill="1" applyBorder="1" applyAlignment="1">
      <alignment horizontal="center" vertical="center"/>
    </xf>
    <xf numFmtId="170" fontId="10" fillId="0" borderId="11" xfId="0" applyNumberFormat="1" applyFont="1" applyFill="1" applyBorder="1" applyAlignment="1">
      <alignment horizontal="center" vertical="center"/>
    </xf>
    <xf numFmtId="170" fontId="11" fillId="0" borderId="11" xfId="0" applyNumberFormat="1" applyFont="1" applyFill="1" applyBorder="1" applyAlignment="1">
      <alignment horizontal="center" vertical="center"/>
    </xf>
    <xf numFmtId="170" fontId="13" fillId="0" borderId="11" xfId="0" applyNumberFormat="1" applyFont="1" applyFill="1" applyBorder="1" applyAlignment="1">
      <alignment horizontal="center"/>
    </xf>
    <xf numFmtId="170" fontId="4" fillId="0" borderId="0" xfId="0" applyNumberFormat="1" applyFont="1" applyAlignment="1">
      <alignment/>
    </xf>
    <xf numFmtId="190" fontId="11" fillId="0" borderId="11" xfId="0" applyNumberFormat="1" applyFont="1" applyFill="1" applyBorder="1" applyAlignment="1">
      <alignment horizontal="center"/>
    </xf>
    <xf numFmtId="166" fontId="12" fillId="0" borderId="11" xfId="0" applyNumberFormat="1" applyFont="1" applyFill="1" applyBorder="1" applyAlignment="1">
      <alignment horizontal="center"/>
    </xf>
    <xf numFmtId="2" fontId="20"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0" fontId="16" fillId="0" borderId="11" xfId="0" applyFont="1" applyFill="1" applyBorder="1" applyAlignment="1">
      <alignment horizontal="left" wrapText="1"/>
    </xf>
    <xf numFmtId="176" fontId="12" fillId="0" borderId="11" xfId="0" applyNumberFormat="1" applyFont="1" applyFill="1" applyBorder="1" applyAlignment="1">
      <alignment horizontal="center" vertical="center"/>
    </xf>
    <xf numFmtId="0" fontId="10" fillId="0" borderId="11" xfId="0" applyFont="1" applyFill="1" applyBorder="1" applyAlignment="1">
      <alignment horizontal="left" wrapText="1"/>
    </xf>
    <xf numFmtId="49" fontId="10" fillId="34" borderId="11" xfId="0" applyNumberFormat="1" applyFont="1" applyFill="1" applyBorder="1" applyAlignment="1">
      <alignment vertical="top" wrapText="1"/>
    </xf>
    <xf numFmtId="49" fontId="10" fillId="34" borderId="10" xfId="0" applyNumberFormat="1" applyFont="1" applyFill="1" applyBorder="1" applyAlignment="1">
      <alignment horizontal="center" wrapText="1"/>
    </xf>
    <xf numFmtId="49" fontId="10" fillId="34" borderId="11" xfId="0" applyNumberFormat="1" applyFont="1" applyFill="1" applyBorder="1" applyAlignment="1">
      <alignment horizontal="center"/>
    </xf>
    <xf numFmtId="2" fontId="10" fillId="34" borderId="11" xfId="0" applyNumberFormat="1" applyFont="1" applyFill="1" applyBorder="1" applyAlignment="1">
      <alignment horizontal="center"/>
    </xf>
    <xf numFmtId="168" fontId="10" fillId="34" borderId="11" xfId="0" applyNumberFormat="1" applyFont="1" applyFill="1" applyBorder="1" applyAlignment="1">
      <alignment horizontal="center"/>
    </xf>
    <xf numFmtId="170" fontId="10" fillId="34" borderId="11" xfId="0" applyNumberFormat="1" applyFont="1" applyFill="1" applyBorder="1" applyAlignment="1">
      <alignment horizontal="center"/>
    </xf>
    <xf numFmtId="0" fontId="4" fillId="34" borderId="0" xfId="0" applyFont="1" applyFill="1" applyAlignment="1">
      <alignment/>
    </xf>
    <xf numFmtId="170" fontId="12" fillId="0" borderId="0" xfId="0" applyNumberFormat="1" applyFont="1" applyAlignment="1">
      <alignment horizontal="center"/>
    </xf>
    <xf numFmtId="169" fontId="16" fillId="0" borderId="11" xfId="0" applyNumberFormat="1" applyFont="1" applyFill="1" applyBorder="1" applyAlignment="1">
      <alignment horizontal="center"/>
    </xf>
    <xf numFmtId="169" fontId="20" fillId="0" borderId="11" xfId="0" applyNumberFormat="1" applyFont="1" applyFill="1" applyBorder="1" applyAlignment="1">
      <alignment horizontal="center"/>
    </xf>
    <xf numFmtId="169" fontId="10" fillId="0" borderId="11" xfId="0" applyNumberFormat="1" applyFont="1" applyFill="1" applyBorder="1" applyAlignment="1">
      <alignment horizontal="center"/>
    </xf>
    <xf numFmtId="169" fontId="11" fillId="0" borderId="11" xfId="0" applyNumberFormat="1" applyFont="1" applyFill="1" applyBorder="1" applyAlignment="1">
      <alignment horizontal="center"/>
    </xf>
    <xf numFmtId="169" fontId="14" fillId="0" borderId="11" xfId="0" applyNumberFormat="1" applyFont="1" applyFill="1" applyBorder="1" applyAlignment="1">
      <alignment horizontal="center"/>
    </xf>
    <xf numFmtId="169" fontId="12" fillId="0" borderId="11" xfId="0" applyNumberFormat="1" applyFont="1" applyFill="1" applyBorder="1" applyAlignment="1">
      <alignment horizontal="center"/>
    </xf>
    <xf numFmtId="169" fontId="20" fillId="0" borderId="11" xfId="0" applyNumberFormat="1" applyFont="1" applyFill="1" applyBorder="1" applyAlignment="1">
      <alignment horizontal="center" vertical="center"/>
    </xf>
    <xf numFmtId="169" fontId="10" fillId="0" borderId="11" xfId="0" applyNumberFormat="1" applyFont="1" applyFill="1" applyBorder="1" applyAlignment="1">
      <alignment horizontal="center" vertical="center"/>
    </xf>
    <xf numFmtId="169" fontId="11" fillId="0" borderId="11" xfId="0" applyNumberFormat="1" applyFont="1" applyFill="1" applyBorder="1" applyAlignment="1">
      <alignment horizontal="center" vertical="center"/>
    </xf>
    <xf numFmtId="169" fontId="10" fillId="34" borderId="11" xfId="0" applyNumberFormat="1" applyFont="1" applyFill="1" applyBorder="1" applyAlignment="1">
      <alignment horizontal="center"/>
    </xf>
    <xf numFmtId="169" fontId="13" fillId="0" borderId="11" xfId="0" applyNumberFormat="1" applyFont="1" applyFill="1" applyBorder="1" applyAlignment="1">
      <alignment horizontal="center"/>
    </xf>
    <xf numFmtId="0" fontId="12" fillId="0" borderId="11" xfId="0" applyNumberFormat="1" applyFont="1" applyFill="1" applyBorder="1" applyAlignment="1">
      <alignment horizontal="left" vertical="top" wrapText="1"/>
    </xf>
    <xf numFmtId="0" fontId="12" fillId="0" borderId="10" xfId="0" applyFont="1" applyFill="1" applyBorder="1" applyAlignment="1">
      <alignment vertical="top" wrapText="1"/>
    </xf>
    <xf numFmtId="49" fontId="16" fillId="0" borderId="11"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left" vertical="top" wrapText="1"/>
    </xf>
    <xf numFmtId="49" fontId="20" fillId="0" borderId="11"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49" fontId="20" fillId="0" borderId="10" xfId="0" applyNumberFormat="1" applyFont="1" applyFill="1" applyBorder="1" applyAlignment="1">
      <alignment vertical="top" wrapText="1"/>
    </xf>
    <xf numFmtId="49" fontId="10" fillId="0" borderId="10" xfId="0" applyNumberFormat="1" applyFont="1" applyFill="1" applyBorder="1" applyAlignment="1">
      <alignment horizontal="center" vertical="center"/>
    </xf>
    <xf numFmtId="169" fontId="12" fillId="0" borderId="11" xfId="0" applyNumberFormat="1" applyFont="1" applyBorder="1" applyAlignment="1">
      <alignment/>
    </xf>
    <xf numFmtId="169" fontId="14" fillId="0" borderId="11" xfId="0" applyNumberFormat="1" applyFont="1" applyBorder="1" applyAlignment="1">
      <alignment/>
    </xf>
    <xf numFmtId="169" fontId="11" fillId="0" borderId="11" xfId="0" applyNumberFormat="1" applyFont="1" applyBorder="1" applyAlignment="1">
      <alignment/>
    </xf>
    <xf numFmtId="180" fontId="11" fillId="0" borderId="11" xfId="0" applyNumberFormat="1" applyFont="1" applyFill="1" applyBorder="1" applyAlignment="1">
      <alignment horizontal="center" vertical="center"/>
    </xf>
    <xf numFmtId="180" fontId="12" fillId="0" borderId="11" xfId="0" applyNumberFormat="1" applyFont="1" applyFill="1" applyBorder="1" applyAlignment="1">
      <alignment horizontal="center" vertical="center"/>
    </xf>
    <xf numFmtId="179" fontId="11" fillId="0" borderId="11" xfId="0" applyNumberFormat="1" applyFont="1" applyFill="1" applyBorder="1" applyAlignment="1">
      <alignment horizontal="center" vertical="center"/>
    </xf>
    <xf numFmtId="0" fontId="12" fillId="0" borderId="10" xfId="0" applyFont="1" applyBorder="1" applyAlignment="1">
      <alignment horizontal="left" vertical="center" wrapText="1"/>
    </xf>
    <xf numFmtId="0" fontId="12" fillId="0" borderId="14" xfId="0" applyFont="1" applyBorder="1" applyAlignment="1">
      <alignment horizontal="left" vertical="center" wrapText="1"/>
    </xf>
    <xf numFmtId="49" fontId="5" fillId="0" borderId="0" xfId="0" applyNumberFormat="1" applyFont="1" applyAlignment="1">
      <alignment horizontal="left"/>
    </xf>
    <xf numFmtId="0" fontId="11" fillId="0" borderId="11" xfId="0" applyFont="1" applyBorder="1" applyAlignment="1">
      <alignment horizontal="center" wrapText="1"/>
    </xf>
    <xf numFmtId="0" fontId="8" fillId="0" borderId="0" xfId="0" applyFont="1" applyAlignment="1">
      <alignment horizontal="center" vertical="top"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4" xfId="0" applyFont="1" applyBorder="1" applyAlignment="1">
      <alignment horizontal="left" vertical="center" wrapTex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49" fontId="7" fillId="0" borderId="0" xfId="0" applyNumberFormat="1" applyFont="1" applyBorder="1" applyAlignment="1">
      <alignment horizontal="center" vertical="justify" wrapText="1"/>
    </xf>
    <xf numFmtId="0" fontId="12" fillId="0" borderId="11" xfId="0" applyFont="1" applyBorder="1" applyAlignment="1">
      <alignment horizontal="center" wrapText="1"/>
    </xf>
    <xf numFmtId="0" fontId="11" fillId="0" borderId="11" xfId="0" applyFont="1" applyBorder="1" applyAlignment="1">
      <alignment horizontal="center"/>
    </xf>
    <xf numFmtId="0" fontId="16" fillId="0" borderId="10" xfId="0" applyFont="1" applyBorder="1" applyAlignment="1">
      <alignment horizontal="center" wrapText="1"/>
    </xf>
    <xf numFmtId="0" fontId="16" fillId="0" borderId="14" xfId="0" applyFont="1" applyBorder="1" applyAlignment="1">
      <alignment horizontal="center" wrapText="1"/>
    </xf>
    <xf numFmtId="0" fontId="16" fillId="0" borderId="19" xfId="0" applyFont="1" applyBorder="1" applyAlignment="1">
      <alignment horizontal="center" wrapText="1"/>
    </xf>
    <xf numFmtId="0" fontId="8" fillId="0" borderId="0" xfId="0" applyFont="1" applyFill="1" applyAlignment="1">
      <alignment horizontal="center" vertical="top" wrapText="1"/>
    </xf>
    <xf numFmtId="49" fontId="5"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7;&#1086;&#1089;&#1077;&#1083;&#1077;&#1085;&#1080;&#1103;%202013-1\&#1073;&#1102;&#1076;&#1078;&#1077;&#1090;%20&#1087;&#1086;&#1089;&#1077;&#1083;&#1077;&#1085;&#1080;&#1103;%202013\&#1087;&#1086;&#1089;&#1077;&#1083;&#1077;&#1085;&#1080;&#1103;%20&#1073;&#1102;&#1076;&#1078;&#1077;&#1090;%202013\&#1041;&#1102;&#1076;&#1078;&#1077;&#1090;%20&#1055;&#1043;&#1055;\&#1055;&#1043;&#1055;-%20&#1091;&#1090;&#1086;&#1095;&#1085;%20&#1092;&#1077;&#1074;\&#1059;&#1090;&#1086;&#1095;&#1085;&#1077;&#1085;&#1080;&#1077;%20%20&#1073;&#1102;&#1076;&#1078;&#1077;&#1090;&#1072;%20&#1055;&#1043;&#1055;%20-&#1092;&#1077;&#1074;&#1088;&#1072;&#1083;&#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точн13 г"/>
      <sheetName val="гл админ"/>
      <sheetName val="доходы 2013 год"/>
      <sheetName val="расх 13 г"/>
      <sheetName val="расх14 - 15"/>
      <sheetName val="цп 2013 год"/>
    </sheetNames>
    <sheetDataSet>
      <sheetData sheetId="3">
        <row r="146">
          <cell r="H146">
            <v>20421.856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7"/>
  <sheetViews>
    <sheetView zoomScalePageLayoutView="0" workbookViewId="0" topLeftCell="A1">
      <selection activeCell="A5" sqref="A5:E5"/>
    </sheetView>
  </sheetViews>
  <sheetFormatPr defaultColWidth="9.00390625" defaultRowHeight="12.75"/>
  <cols>
    <col min="1" max="1" width="13.625" style="1" customWidth="1"/>
    <col min="2" max="2" width="23.875" style="1" customWidth="1"/>
    <col min="3" max="3" width="21.25390625" style="25" customWidth="1"/>
    <col min="4" max="4" width="17.25390625" style="25" customWidth="1"/>
    <col min="5" max="5" width="14.875" style="1" bestFit="1" customWidth="1"/>
    <col min="6" max="16384" width="9.125" style="1" customWidth="1"/>
  </cols>
  <sheetData>
    <row r="1" spans="1:5" ht="15.75">
      <c r="A1" s="16"/>
      <c r="B1" s="14"/>
      <c r="C1" s="262" t="s">
        <v>354</v>
      </c>
      <c r="D1" s="262"/>
      <c r="E1" s="262"/>
    </row>
    <row r="2" spans="1:5" ht="12.75" customHeight="1">
      <c r="A2" s="16"/>
      <c r="B2" s="14"/>
      <c r="C2" s="262" t="s">
        <v>353</v>
      </c>
      <c r="D2" s="262"/>
      <c r="E2" s="262"/>
    </row>
    <row r="3" spans="1:5" ht="15.75" customHeight="1">
      <c r="A3" s="16"/>
      <c r="B3" s="14"/>
      <c r="C3" s="262" t="s">
        <v>386</v>
      </c>
      <c r="D3" s="262"/>
      <c r="E3" s="262"/>
    </row>
    <row r="4" spans="1:4" ht="15.75">
      <c r="A4" s="16"/>
      <c r="B4" s="14"/>
      <c r="C4" s="17"/>
      <c r="D4" s="17"/>
    </row>
    <row r="5" spans="1:5" ht="31.5" customHeight="1">
      <c r="A5" s="264" t="s">
        <v>202</v>
      </c>
      <c r="B5" s="264"/>
      <c r="C5" s="264"/>
      <c r="D5" s="264"/>
      <c r="E5" s="264"/>
    </row>
    <row r="7" spans="1:5" s="15" customFormat="1" ht="32.25" customHeight="1">
      <c r="A7" s="263" t="s">
        <v>155</v>
      </c>
      <c r="B7" s="263"/>
      <c r="C7" s="265" t="s">
        <v>156</v>
      </c>
      <c r="D7" s="266"/>
      <c r="E7" s="269" t="s">
        <v>158</v>
      </c>
    </row>
    <row r="8" spans="1:5" s="15" customFormat="1" ht="78.75" customHeight="1">
      <c r="A8" s="11" t="s">
        <v>157</v>
      </c>
      <c r="B8" s="11" t="s">
        <v>159</v>
      </c>
      <c r="C8" s="267"/>
      <c r="D8" s="268"/>
      <c r="E8" s="269"/>
    </row>
    <row r="9" spans="1:5" s="20" customFormat="1" ht="15">
      <c r="A9" s="18" t="s">
        <v>160</v>
      </c>
      <c r="B9" s="19" t="s">
        <v>161</v>
      </c>
      <c r="C9" s="263">
        <v>3</v>
      </c>
      <c r="D9" s="263"/>
      <c r="E9" s="12">
        <v>4</v>
      </c>
    </row>
    <row r="10" spans="1:5" s="22" customFormat="1" ht="30.75" customHeight="1">
      <c r="A10" s="10" t="s">
        <v>189</v>
      </c>
      <c r="B10" s="21" t="s">
        <v>162</v>
      </c>
      <c r="C10" s="260" t="s">
        <v>163</v>
      </c>
      <c r="D10" s="261"/>
      <c r="E10" s="254">
        <f>E11</f>
        <v>5368.583799999993</v>
      </c>
    </row>
    <row r="11" spans="1:5" s="22" customFormat="1" ht="27.75" customHeight="1">
      <c r="A11" s="10" t="s">
        <v>189</v>
      </c>
      <c r="B11" s="21" t="s">
        <v>164</v>
      </c>
      <c r="C11" s="260" t="s">
        <v>165</v>
      </c>
      <c r="D11" s="261"/>
      <c r="E11" s="254">
        <f>E12+E16</f>
        <v>5368.583799999993</v>
      </c>
    </row>
    <row r="12" spans="1:5" s="24" customFormat="1" ht="18.75" customHeight="1">
      <c r="A12" s="10" t="s">
        <v>189</v>
      </c>
      <c r="B12" s="23" t="s">
        <v>166</v>
      </c>
      <c r="C12" s="272" t="s">
        <v>167</v>
      </c>
      <c r="D12" s="273"/>
      <c r="E12" s="255">
        <f>E13</f>
        <v>-80568.9243</v>
      </c>
    </row>
    <row r="13" spans="1:5" s="15" customFormat="1" ht="26.25" customHeight="1">
      <c r="A13" s="10" t="s">
        <v>189</v>
      </c>
      <c r="B13" s="18" t="s">
        <v>168</v>
      </c>
      <c r="C13" s="270" t="s">
        <v>169</v>
      </c>
      <c r="D13" s="271"/>
      <c r="E13" s="256">
        <f>E14</f>
        <v>-80568.9243</v>
      </c>
    </row>
    <row r="14" spans="1:5" s="15" customFormat="1" ht="29.25" customHeight="1">
      <c r="A14" s="10" t="s">
        <v>189</v>
      </c>
      <c r="B14" s="18" t="s">
        <v>170</v>
      </c>
      <c r="C14" s="270" t="s">
        <v>171</v>
      </c>
      <c r="D14" s="271"/>
      <c r="E14" s="256">
        <f>E15</f>
        <v>-80568.9243</v>
      </c>
    </row>
    <row r="15" spans="1:5" s="15" customFormat="1" ht="30" customHeight="1">
      <c r="A15" s="10" t="s">
        <v>189</v>
      </c>
      <c r="B15" s="18" t="s">
        <v>172</v>
      </c>
      <c r="C15" s="270" t="s">
        <v>173</v>
      </c>
      <c r="D15" s="271"/>
      <c r="E15" s="256">
        <f>-доходы!W86</f>
        <v>-80568.9243</v>
      </c>
    </row>
    <row r="16" spans="1:5" s="24" customFormat="1" ht="17.25" customHeight="1">
      <c r="A16" s="10" t="s">
        <v>189</v>
      </c>
      <c r="B16" s="23" t="s">
        <v>174</v>
      </c>
      <c r="C16" s="272" t="s">
        <v>175</v>
      </c>
      <c r="D16" s="273"/>
      <c r="E16" s="255">
        <f>E17</f>
        <v>85937.50809999999</v>
      </c>
    </row>
    <row r="17" spans="1:5" s="15" customFormat="1" ht="27" customHeight="1">
      <c r="A17" s="10" t="s">
        <v>189</v>
      </c>
      <c r="B17" s="18" t="s">
        <v>176</v>
      </c>
      <c r="C17" s="270" t="s">
        <v>177</v>
      </c>
      <c r="D17" s="271"/>
      <c r="E17" s="256">
        <f>E18</f>
        <v>85937.50809999999</v>
      </c>
    </row>
    <row r="18" spans="1:5" s="15" customFormat="1" ht="29.25" customHeight="1">
      <c r="A18" s="10" t="s">
        <v>189</v>
      </c>
      <c r="B18" s="18" t="s">
        <v>178</v>
      </c>
      <c r="C18" s="270" t="s">
        <v>179</v>
      </c>
      <c r="D18" s="271"/>
      <c r="E18" s="256">
        <f>E19</f>
        <v>85937.50809999999</v>
      </c>
    </row>
    <row r="19" spans="1:5" s="15" customFormat="1" ht="31.5" customHeight="1">
      <c r="A19" s="10" t="s">
        <v>189</v>
      </c>
      <c r="B19" s="18" t="s">
        <v>180</v>
      </c>
      <c r="C19" s="270" t="s">
        <v>181</v>
      </c>
      <c r="D19" s="271"/>
      <c r="E19" s="256">
        <f>'расх 13 г'!AE181</f>
        <v>85937.50809999999</v>
      </c>
    </row>
    <row r="20" spans="1:2" ht="15.75">
      <c r="A20" s="2"/>
      <c r="B20" s="2"/>
    </row>
    <row r="21" spans="1:2" ht="15.75">
      <c r="A21" s="2"/>
      <c r="B21" s="2"/>
    </row>
    <row r="22" spans="1:2" ht="15.75">
      <c r="A22" s="2"/>
      <c r="B22" s="2"/>
    </row>
    <row r="23" spans="1:2" ht="15.75">
      <c r="A23" s="2"/>
      <c r="B23" s="2"/>
    </row>
    <row r="24" spans="1:2" ht="15.75">
      <c r="A24" s="2"/>
      <c r="B24" s="2"/>
    </row>
    <row r="25" spans="1:2" ht="15.75">
      <c r="A25" s="2"/>
      <c r="B25" s="2"/>
    </row>
    <row r="26" spans="1:2" ht="15.75">
      <c r="A26" s="2"/>
      <c r="B26" s="2"/>
    </row>
    <row r="27" spans="1:2" ht="15.75">
      <c r="A27" s="2"/>
      <c r="B27" s="2"/>
    </row>
    <row r="28" spans="1:2" ht="15.75">
      <c r="A28" s="2"/>
      <c r="B28" s="2"/>
    </row>
    <row r="29" spans="1:2" ht="15.75">
      <c r="A29" s="2"/>
      <c r="B29" s="2"/>
    </row>
    <row r="30" spans="1:2" ht="15.75">
      <c r="A30" s="2"/>
      <c r="B30" s="2"/>
    </row>
    <row r="31" spans="1:2" ht="15.75">
      <c r="A31" s="2"/>
      <c r="B31" s="2"/>
    </row>
    <row r="32" spans="1:2" ht="15.75">
      <c r="A32" s="2"/>
      <c r="B32" s="2"/>
    </row>
    <row r="33" spans="1:2" ht="15.75">
      <c r="A33" s="2"/>
      <c r="B33" s="2"/>
    </row>
    <row r="34" spans="1:2" ht="15.75">
      <c r="A34" s="2"/>
      <c r="B34" s="2"/>
    </row>
    <row r="35" spans="1:2" ht="15.75">
      <c r="A35" s="2"/>
      <c r="B35" s="2"/>
    </row>
    <row r="36" spans="1:2" ht="15.75">
      <c r="A36" s="2"/>
      <c r="B36" s="2"/>
    </row>
    <row r="37" spans="1:2" ht="15.75">
      <c r="A37" s="2"/>
      <c r="B37" s="2"/>
    </row>
    <row r="38" spans="1:2" ht="15.75">
      <c r="A38" s="2"/>
      <c r="B38" s="2"/>
    </row>
    <row r="39" spans="1:2" ht="15.75">
      <c r="A39" s="2"/>
      <c r="B39" s="2"/>
    </row>
    <row r="40" spans="1:2" ht="15.75">
      <c r="A40" s="2"/>
      <c r="B40" s="2"/>
    </row>
    <row r="41" spans="1:2" ht="15.75">
      <c r="A41" s="2"/>
      <c r="B41" s="2"/>
    </row>
    <row r="42" spans="1:2" ht="15.75">
      <c r="A42" s="2"/>
      <c r="B42" s="2"/>
    </row>
    <row r="43" spans="1:2" ht="15.75">
      <c r="A43" s="2"/>
      <c r="B43" s="2"/>
    </row>
    <row r="44" spans="1:2" ht="15.75">
      <c r="A44" s="2"/>
      <c r="B44" s="2"/>
    </row>
    <row r="45" spans="1:2" ht="15.75">
      <c r="A45" s="2"/>
      <c r="B45" s="2"/>
    </row>
    <row r="46" spans="1:2" ht="15.75">
      <c r="A46" s="2"/>
      <c r="B46" s="2"/>
    </row>
    <row r="47" spans="1:2" ht="15.75">
      <c r="A47" s="2"/>
      <c r="B47" s="2"/>
    </row>
  </sheetData>
  <sheetProtection/>
  <mergeCells count="18">
    <mergeCell ref="C18:D18"/>
    <mergeCell ref="C19:D19"/>
    <mergeCell ref="C15:D15"/>
    <mergeCell ref="C12:D12"/>
    <mergeCell ref="C14:D14"/>
    <mergeCell ref="C13:D13"/>
    <mergeCell ref="C16:D16"/>
    <mergeCell ref="C17:D17"/>
    <mergeCell ref="C11:D11"/>
    <mergeCell ref="C10:D10"/>
    <mergeCell ref="C1:E1"/>
    <mergeCell ref="C2:E2"/>
    <mergeCell ref="C3:E3"/>
    <mergeCell ref="C9:D9"/>
    <mergeCell ref="A5:E5"/>
    <mergeCell ref="A7:B7"/>
    <mergeCell ref="C7:D8"/>
    <mergeCell ref="E7:E8"/>
  </mergeCells>
  <printOptions/>
  <pageMargins left="0.7874015748031497"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370"/>
  <sheetViews>
    <sheetView zoomScalePageLayoutView="0" workbookViewId="0" topLeftCell="A1">
      <selection activeCell="F14" sqref="F14"/>
    </sheetView>
  </sheetViews>
  <sheetFormatPr defaultColWidth="9.00390625" defaultRowHeight="12.75"/>
  <cols>
    <col min="1" max="1" width="4.00390625" style="123" customWidth="1"/>
    <col min="2" max="2" width="6.00390625" style="123" customWidth="1"/>
    <col min="3" max="3" width="2.75390625" style="123" customWidth="1"/>
    <col min="4" max="4" width="4.375" style="123" customWidth="1"/>
    <col min="5" max="5" width="3.625" style="123" customWidth="1"/>
    <col min="6" max="6" width="57.75390625" style="123" customWidth="1"/>
    <col min="7" max="7" width="12.375" style="122" hidden="1" customWidth="1"/>
    <col min="8" max="8" width="12.25390625" style="122" hidden="1" customWidth="1"/>
    <col min="9" max="9" width="12.125" style="122" hidden="1" customWidth="1"/>
    <col min="10" max="19" width="12.625" style="123" hidden="1" customWidth="1"/>
    <col min="20" max="20" width="13.375" style="123" hidden="1" customWidth="1"/>
    <col min="21" max="22" width="13.25390625" style="123" hidden="1" customWidth="1"/>
    <col min="23" max="23" width="13.25390625" style="123" customWidth="1"/>
    <col min="24" max="16384" width="9.125" style="123" customWidth="1"/>
  </cols>
  <sheetData>
    <row r="1" spans="1:23" s="1" customFormat="1" ht="15.75">
      <c r="A1" s="14"/>
      <c r="B1" s="14"/>
      <c r="C1" s="16"/>
      <c r="D1" s="16"/>
      <c r="E1" s="119"/>
      <c r="F1" s="262" t="s">
        <v>383</v>
      </c>
      <c r="G1" s="262"/>
      <c r="H1" s="262"/>
      <c r="I1" s="262"/>
      <c r="J1" s="262"/>
      <c r="K1" s="262"/>
      <c r="L1" s="262"/>
      <c r="M1" s="262"/>
      <c r="N1" s="262"/>
      <c r="O1" s="262"/>
      <c r="P1" s="262"/>
      <c r="Q1" s="262"/>
      <c r="R1" s="262"/>
      <c r="S1" s="262"/>
      <c r="T1" s="262"/>
      <c r="U1" s="262"/>
      <c r="V1" s="262"/>
      <c r="W1" s="262"/>
    </row>
    <row r="2" spans="1:23" s="1" customFormat="1" ht="15.75">
      <c r="A2" s="14"/>
      <c r="B2" s="14"/>
      <c r="C2" s="16"/>
      <c r="D2" s="16"/>
      <c r="E2" s="119"/>
      <c r="F2" s="262" t="s">
        <v>352</v>
      </c>
      <c r="G2" s="262"/>
      <c r="H2" s="262"/>
      <c r="I2" s="262"/>
      <c r="J2" s="262"/>
      <c r="K2" s="262"/>
      <c r="L2" s="262"/>
      <c r="M2" s="262"/>
      <c r="N2" s="262"/>
      <c r="O2" s="262"/>
      <c r="P2" s="262"/>
      <c r="Q2" s="262"/>
      <c r="R2" s="262"/>
      <c r="S2" s="262"/>
      <c r="T2" s="262"/>
      <c r="U2" s="262"/>
      <c r="V2" s="262"/>
      <c r="W2" s="262"/>
    </row>
    <row r="3" spans="1:23" s="1" customFormat="1" ht="15.75">
      <c r="A3" s="14"/>
      <c r="B3" s="14"/>
      <c r="C3" s="16"/>
      <c r="D3" s="16"/>
      <c r="E3" s="119"/>
      <c r="F3" s="262" t="s">
        <v>387</v>
      </c>
      <c r="G3" s="262"/>
      <c r="H3" s="262"/>
      <c r="I3" s="262"/>
      <c r="J3" s="262"/>
      <c r="K3" s="262"/>
      <c r="L3" s="262"/>
      <c r="M3" s="262"/>
      <c r="N3" s="262"/>
      <c r="O3" s="262"/>
      <c r="P3" s="262"/>
      <c r="Q3" s="262"/>
      <c r="R3" s="262"/>
      <c r="S3" s="262"/>
      <c r="T3" s="262"/>
      <c r="U3" s="262"/>
      <c r="V3" s="262"/>
      <c r="W3" s="262"/>
    </row>
    <row r="4" spans="1:9" s="1" customFormat="1" ht="15.75">
      <c r="A4" s="14"/>
      <c r="B4" s="14"/>
      <c r="C4" s="16"/>
      <c r="D4" s="16"/>
      <c r="E4" s="119"/>
      <c r="G4" s="120"/>
      <c r="H4" s="120"/>
      <c r="I4" s="120"/>
    </row>
    <row r="5" spans="7:9" s="1" customFormat="1" ht="12.75" customHeight="1">
      <c r="G5" s="120"/>
      <c r="H5" s="120"/>
      <c r="I5" s="120"/>
    </row>
    <row r="6" spans="1:19" s="1" customFormat="1" ht="15.75">
      <c r="A6" s="274" t="s">
        <v>210</v>
      </c>
      <c r="B6" s="274"/>
      <c r="C6" s="274"/>
      <c r="D6" s="274"/>
      <c r="E6" s="274"/>
      <c r="F6" s="274"/>
      <c r="G6" s="274"/>
      <c r="H6" s="274"/>
      <c r="I6" s="274"/>
      <c r="J6" s="274"/>
      <c r="K6" s="274"/>
      <c r="L6" s="274"/>
      <c r="M6" s="274"/>
      <c r="N6" s="274"/>
      <c r="O6" s="274"/>
      <c r="P6" s="274"/>
      <c r="Q6" s="274"/>
      <c r="R6" s="274"/>
      <c r="S6" s="274"/>
    </row>
    <row r="7" spans="1:6" ht="12.75">
      <c r="A7" s="121"/>
      <c r="B7" s="121"/>
      <c r="C7" s="121"/>
      <c r="D7" s="121"/>
      <c r="E7" s="121"/>
      <c r="F7" s="121"/>
    </row>
    <row r="8" spans="1:23" ht="25.5">
      <c r="A8" s="269"/>
      <c r="B8" s="269"/>
      <c r="C8" s="269"/>
      <c r="D8" s="269"/>
      <c r="E8" s="269"/>
      <c r="F8" s="110" t="s">
        <v>211</v>
      </c>
      <c r="G8" s="11" t="s">
        <v>212</v>
      </c>
      <c r="H8" s="110" t="s">
        <v>191</v>
      </c>
      <c r="I8" s="11" t="s">
        <v>212</v>
      </c>
      <c r="J8" s="186" t="s">
        <v>326</v>
      </c>
      <c r="K8" s="11" t="s">
        <v>212</v>
      </c>
      <c r="L8" s="11" t="s">
        <v>191</v>
      </c>
      <c r="M8" s="11" t="s">
        <v>212</v>
      </c>
      <c r="N8" s="11" t="s">
        <v>326</v>
      </c>
      <c r="O8" s="11" t="s">
        <v>212</v>
      </c>
      <c r="P8" s="11" t="s">
        <v>326</v>
      </c>
      <c r="Q8" s="11" t="s">
        <v>212</v>
      </c>
      <c r="R8" s="11" t="s">
        <v>191</v>
      </c>
      <c r="S8" s="11" t="s">
        <v>212</v>
      </c>
      <c r="T8" s="11" t="s">
        <v>326</v>
      </c>
      <c r="U8" s="11" t="s">
        <v>212</v>
      </c>
      <c r="V8" s="11" t="s">
        <v>212</v>
      </c>
      <c r="W8" s="11" t="s">
        <v>212</v>
      </c>
    </row>
    <row r="9" spans="1:23" s="124" customFormat="1" ht="12.75">
      <c r="A9" s="276">
        <v>1</v>
      </c>
      <c r="B9" s="276"/>
      <c r="C9" s="276"/>
      <c r="D9" s="276"/>
      <c r="E9" s="276"/>
      <c r="F9" s="12">
        <v>2</v>
      </c>
      <c r="G9" s="110">
        <v>3</v>
      </c>
      <c r="H9" s="110"/>
      <c r="I9" s="110"/>
      <c r="J9" s="12"/>
      <c r="K9" s="12"/>
      <c r="L9" s="12"/>
      <c r="M9" s="12">
        <v>3</v>
      </c>
      <c r="N9" s="12"/>
      <c r="O9" s="12">
        <v>4</v>
      </c>
      <c r="P9" s="12">
        <v>4</v>
      </c>
      <c r="Q9" s="12">
        <v>4</v>
      </c>
      <c r="R9" s="12">
        <v>4</v>
      </c>
      <c r="S9" s="12">
        <v>3</v>
      </c>
      <c r="T9" s="12">
        <v>3</v>
      </c>
      <c r="U9" s="12">
        <v>3</v>
      </c>
      <c r="V9" s="12">
        <v>3</v>
      </c>
      <c r="W9" s="12">
        <v>3</v>
      </c>
    </row>
    <row r="10" spans="1:23" s="128" customFormat="1" ht="12.75">
      <c r="A10" s="125"/>
      <c r="B10" s="125"/>
      <c r="C10" s="125"/>
      <c r="D10" s="125"/>
      <c r="E10" s="125"/>
      <c r="F10" s="126" t="s">
        <v>213</v>
      </c>
      <c r="G10" s="127">
        <f>G11+G17+G21+G30+G35+G47+G39+G26</f>
        <v>9637.5</v>
      </c>
      <c r="H10" s="127">
        <f aca="true" t="shared" si="0" ref="H10:M10">H12+H17+H21+H30+H35+H47+H39+H26</f>
        <v>0</v>
      </c>
      <c r="I10" s="127">
        <f t="shared" si="0"/>
        <v>9637.5</v>
      </c>
      <c r="J10" s="127">
        <f t="shared" si="0"/>
        <v>0</v>
      </c>
      <c r="K10" s="173">
        <f t="shared" si="0"/>
        <v>9637.5</v>
      </c>
      <c r="L10" s="173">
        <f t="shared" si="0"/>
        <v>0</v>
      </c>
      <c r="M10" s="173">
        <f t="shared" si="0"/>
        <v>9637.5</v>
      </c>
      <c r="N10" s="173">
        <f>N12+N17+N21+N30+N35+N47+N39+N26</f>
        <v>2600</v>
      </c>
      <c r="O10" s="173">
        <f aca="true" t="shared" si="1" ref="O10:U10">O12+O17+O21+O30+O35+O47+O39+O26+O42</f>
        <v>12237.5</v>
      </c>
      <c r="P10" s="173">
        <f t="shared" si="1"/>
        <v>1160</v>
      </c>
      <c r="Q10" s="173">
        <f t="shared" si="1"/>
        <v>13397.5</v>
      </c>
      <c r="R10" s="173">
        <f t="shared" si="1"/>
        <v>0</v>
      </c>
      <c r="S10" s="173">
        <f t="shared" si="1"/>
        <v>13397.5</v>
      </c>
      <c r="T10" s="173">
        <f t="shared" si="1"/>
        <v>4603.5</v>
      </c>
      <c r="U10" s="173">
        <f t="shared" si="1"/>
        <v>18001</v>
      </c>
      <c r="V10" s="173">
        <f>V12+V17+V21+V30+V35+V47+V39+V26+V42</f>
        <v>298.8</v>
      </c>
      <c r="W10" s="173">
        <f>W12+W17+W21+W30+W35+W47+W39+W26+W42</f>
        <v>18299.8</v>
      </c>
    </row>
    <row r="11" spans="1:23" s="128" customFormat="1" ht="12.75">
      <c r="A11" s="125" t="s">
        <v>214</v>
      </c>
      <c r="B11" s="125" t="s">
        <v>215</v>
      </c>
      <c r="C11" s="125" t="s">
        <v>216</v>
      </c>
      <c r="D11" s="125" t="s">
        <v>217</v>
      </c>
      <c r="E11" s="125" t="s">
        <v>218</v>
      </c>
      <c r="F11" s="126" t="s">
        <v>219</v>
      </c>
      <c r="G11" s="127">
        <f aca="true" t="shared" si="2" ref="G11:W11">G12</f>
        <v>4664</v>
      </c>
      <c r="H11" s="127">
        <f t="shared" si="2"/>
        <v>0</v>
      </c>
      <c r="I11" s="127">
        <f t="shared" si="2"/>
        <v>4664</v>
      </c>
      <c r="J11" s="127">
        <f t="shared" si="2"/>
        <v>-409</v>
      </c>
      <c r="K11" s="173">
        <f t="shared" si="2"/>
        <v>4255</v>
      </c>
      <c r="L11" s="173">
        <f t="shared" si="2"/>
        <v>0</v>
      </c>
      <c r="M11" s="173">
        <f t="shared" si="2"/>
        <v>4255</v>
      </c>
      <c r="N11" s="173">
        <f t="shared" si="2"/>
        <v>0</v>
      </c>
      <c r="O11" s="173">
        <f t="shared" si="2"/>
        <v>4254.999999999999</v>
      </c>
      <c r="P11" s="173">
        <f t="shared" si="2"/>
        <v>-8.881784197001252E-16</v>
      </c>
      <c r="Q11" s="173">
        <f t="shared" si="2"/>
        <v>4255</v>
      </c>
      <c r="R11" s="173">
        <f t="shared" si="2"/>
        <v>0</v>
      </c>
      <c r="S11" s="173">
        <f t="shared" si="2"/>
        <v>4255</v>
      </c>
      <c r="T11" s="173">
        <f t="shared" si="2"/>
        <v>887.3000000000001</v>
      </c>
      <c r="U11" s="173">
        <f t="shared" si="2"/>
        <v>5142.299999999999</v>
      </c>
      <c r="V11" s="173">
        <f t="shared" si="2"/>
        <v>209.8</v>
      </c>
      <c r="W11" s="173">
        <f t="shared" si="2"/>
        <v>5352.099999999999</v>
      </c>
    </row>
    <row r="12" spans="1:23" s="128" customFormat="1" ht="12.75">
      <c r="A12" s="129" t="s">
        <v>214</v>
      </c>
      <c r="B12" s="129" t="s">
        <v>220</v>
      </c>
      <c r="C12" s="129" t="s">
        <v>1</v>
      </c>
      <c r="D12" s="129" t="s">
        <v>217</v>
      </c>
      <c r="E12" s="129" t="s">
        <v>221</v>
      </c>
      <c r="F12" s="130" t="s">
        <v>222</v>
      </c>
      <c r="G12" s="131">
        <f>G13+G15+G14</f>
        <v>4664</v>
      </c>
      <c r="H12" s="131">
        <f>H13+H15+H14</f>
        <v>0</v>
      </c>
      <c r="I12" s="131">
        <f aca="true" t="shared" si="3" ref="I12:O12">I13+I15+I14+I16</f>
        <v>4664</v>
      </c>
      <c r="J12" s="131">
        <f t="shared" si="3"/>
        <v>-409</v>
      </c>
      <c r="K12" s="188">
        <f t="shared" si="3"/>
        <v>4255</v>
      </c>
      <c r="L12" s="188">
        <f t="shared" si="3"/>
        <v>0</v>
      </c>
      <c r="M12" s="188">
        <f t="shared" si="3"/>
        <v>4255</v>
      </c>
      <c r="N12" s="188">
        <f t="shared" si="3"/>
        <v>0</v>
      </c>
      <c r="O12" s="188">
        <f t="shared" si="3"/>
        <v>4254.999999999999</v>
      </c>
      <c r="P12" s="188">
        <f aca="true" t="shared" si="4" ref="P12:U12">P13+P15+P14+P16</f>
        <v>-8.881784197001252E-16</v>
      </c>
      <c r="Q12" s="188">
        <f t="shared" si="4"/>
        <v>4255</v>
      </c>
      <c r="R12" s="188">
        <f t="shared" si="4"/>
        <v>0</v>
      </c>
      <c r="S12" s="188">
        <f t="shared" si="4"/>
        <v>4255</v>
      </c>
      <c r="T12" s="188">
        <f t="shared" si="4"/>
        <v>887.3000000000001</v>
      </c>
      <c r="U12" s="188">
        <f t="shared" si="4"/>
        <v>5142.299999999999</v>
      </c>
      <c r="V12" s="188">
        <f>V13+V15+V14+V16</f>
        <v>209.8</v>
      </c>
      <c r="W12" s="188">
        <f>W13+W15+W14+W16</f>
        <v>5352.099999999999</v>
      </c>
    </row>
    <row r="13" spans="1:23" s="136" customFormat="1" ht="52.5" customHeight="1">
      <c r="A13" s="132" t="s">
        <v>214</v>
      </c>
      <c r="B13" s="132" t="s">
        <v>223</v>
      </c>
      <c r="C13" s="132" t="s">
        <v>1</v>
      </c>
      <c r="D13" s="132" t="s">
        <v>217</v>
      </c>
      <c r="E13" s="132" t="s">
        <v>221</v>
      </c>
      <c r="F13" s="133" t="s">
        <v>224</v>
      </c>
      <c r="G13" s="134">
        <v>4647.4</v>
      </c>
      <c r="H13" s="135"/>
      <c r="I13" s="134">
        <f>G13+H13</f>
        <v>4647.4</v>
      </c>
      <c r="J13" s="134">
        <f>-9-400</f>
        <v>-409</v>
      </c>
      <c r="K13" s="174">
        <f>I13+J13</f>
        <v>4238.4</v>
      </c>
      <c r="L13" s="174"/>
      <c r="M13" s="174">
        <f>K13+L13</f>
        <v>4238.4</v>
      </c>
      <c r="N13" s="174"/>
      <c r="O13" s="174">
        <f>M13+N13</f>
        <v>4238.4</v>
      </c>
      <c r="P13" s="174">
        <v>4.6</v>
      </c>
      <c r="Q13" s="174">
        <f>O13+P13</f>
        <v>4243</v>
      </c>
      <c r="R13" s="174"/>
      <c r="S13" s="174">
        <f>Q13+R13</f>
        <v>4243</v>
      </c>
      <c r="T13" s="174">
        <v>890.2</v>
      </c>
      <c r="U13" s="174">
        <f>S13+T13</f>
        <v>5133.2</v>
      </c>
      <c r="V13" s="174">
        <v>209.8</v>
      </c>
      <c r="W13" s="174">
        <f>U13+V13</f>
        <v>5343</v>
      </c>
    </row>
    <row r="14" spans="1:23" ht="89.25" customHeight="1">
      <c r="A14" s="132" t="s">
        <v>214</v>
      </c>
      <c r="B14" s="132" t="s">
        <v>225</v>
      </c>
      <c r="C14" s="132" t="s">
        <v>1</v>
      </c>
      <c r="D14" s="132" t="s">
        <v>217</v>
      </c>
      <c r="E14" s="132" t="s">
        <v>221</v>
      </c>
      <c r="F14" s="137" t="s">
        <v>226</v>
      </c>
      <c r="G14" s="134">
        <v>11</v>
      </c>
      <c r="H14" s="110"/>
      <c r="I14" s="134">
        <f>G14+H14</f>
        <v>11</v>
      </c>
      <c r="J14" s="134"/>
      <c r="K14" s="174">
        <f>I14+J14</f>
        <v>11</v>
      </c>
      <c r="L14" s="174"/>
      <c r="M14" s="174">
        <f>K14+L14</f>
        <v>11</v>
      </c>
      <c r="N14" s="174">
        <v>3.2</v>
      </c>
      <c r="O14" s="174">
        <f>M14+N14</f>
        <v>14.2</v>
      </c>
      <c r="P14" s="174">
        <v>-4.2</v>
      </c>
      <c r="Q14" s="174">
        <f>O14+P14</f>
        <v>10</v>
      </c>
      <c r="R14" s="174"/>
      <c r="S14" s="174">
        <f>Q14+R14</f>
        <v>10</v>
      </c>
      <c r="T14" s="174">
        <v>-2.8</v>
      </c>
      <c r="U14" s="174">
        <f>S14+T14</f>
        <v>7.2</v>
      </c>
      <c r="V14" s="174"/>
      <c r="W14" s="174">
        <f>U14+V14</f>
        <v>7.2</v>
      </c>
    </row>
    <row r="15" spans="1:23" ht="40.5" customHeight="1">
      <c r="A15" s="132" t="s">
        <v>214</v>
      </c>
      <c r="B15" s="132" t="s">
        <v>227</v>
      </c>
      <c r="C15" s="132" t="s">
        <v>1</v>
      </c>
      <c r="D15" s="132" t="s">
        <v>217</v>
      </c>
      <c r="E15" s="132" t="s">
        <v>221</v>
      </c>
      <c r="F15" s="138" t="s">
        <v>228</v>
      </c>
      <c r="G15" s="134">
        <v>5.6</v>
      </c>
      <c r="H15" s="110"/>
      <c r="I15" s="134">
        <f>G15+H15</f>
        <v>5.6</v>
      </c>
      <c r="J15" s="134">
        <v>-1</v>
      </c>
      <c r="K15" s="174">
        <f>I15+J15</f>
        <v>4.6</v>
      </c>
      <c r="L15" s="174"/>
      <c r="M15" s="174">
        <f>K15+L15</f>
        <v>4.6</v>
      </c>
      <c r="N15" s="174">
        <v>-3.2</v>
      </c>
      <c r="O15" s="174">
        <f>M15+N15</f>
        <v>1.3999999999999995</v>
      </c>
      <c r="P15" s="174">
        <v>-0.4</v>
      </c>
      <c r="Q15" s="174">
        <f>O15+P15</f>
        <v>0.9999999999999994</v>
      </c>
      <c r="R15" s="174"/>
      <c r="S15" s="174">
        <f>Q15+R15</f>
        <v>0.9999999999999994</v>
      </c>
      <c r="T15" s="174"/>
      <c r="U15" s="174">
        <f>S15+T15</f>
        <v>0.9999999999999994</v>
      </c>
      <c r="V15" s="174"/>
      <c r="W15" s="174">
        <f>U15+V15</f>
        <v>0.9999999999999994</v>
      </c>
    </row>
    <row r="16" spans="1:23" ht="71.25" customHeight="1">
      <c r="A16" s="132" t="s">
        <v>214</v>
      </c>
      <c r="B16" s="132" t="s">
        <v>327</v>
      </c>
      <c r="C16" s="132" t="s">
        <v>1</v>
      </c>
      <c r="D16" s="132" t="s">
        <v>217</v>
      </c>
      <c r="E16" s="132" t="s">
        <v>221</v>
      </c>
      <c r="F16" s="138" t="s">
        <v>328</v>
      </c>
      <c r="G16" s="134"/>
      <c r="H16" s="110"/>
      <c r="I16" s="134"/>
      <c r="J16" s="134">
        <v>1</v>
      </c>
      <c r="K16" s="174">
        <f>I16+J16</f>
        <v>1</v>
      </c>
      <c r="L16" s="174"/>
      <c r="M16" s="174">
        <f>K16+L16</f>
        <v>1</v>
      </c>
      <c r="N16" s="174"/>
      <c r="O16" s="174">
        <f>M16+N16</f>
        <v>1</v>
      </c>
      <c r="P16" s="174"/>
      <c r="Q16" s="174">
        <f>O16+P16</f>
        <v>1</v>
      </c>
      <c r="R16" s="174"/>
      <c r="S16" s="174">
        <f>Q16+R16</f>
        <v>1</v>
      </c>
      <c r="T16" s="174">
        <v>-0.1</v>
      </c>
      <c r="U16" s="174">
        <f>S16+T16</f>
        <v>0.9</v>
      </c>
      <c r="V16" s="174"/>
      <c r="W16" s="174">
        <f>U16+V16</f>
        <v>0.9</v>
      </c>
    </row>
    <row r="17" spans="1:23" ht="12.75">
      <c r="A17" s="125" t="s">
        <v>229</v>
      </c>
      <c r="B17" s="125" t="s">
        <v>215</v>
      </c>
      <c r="C17" s="125" t="s">
        <v>216</v>
      </c>
      <c r="D17" s="125" t="s">
        <v>217</v>
      </c>
      <c r="E17" s="125" t="s">
        <v>218</v>
      </c>
      <c r="F17" s="139" t="s">
        <v>230</v>
      </c>
      <c r="G17" s="127">
        <f>G20+G18</f>
        <v>0</v>
      </c>
      <c r="H17" s="110"/>
      <c r="I17" s="110">
        <f aca="true" t="shared" si="5" ref="I17:W17">I18</f>
        <v>0</v>
      </c>
      <c r="J17" s="110">
        <f t="shared" si="5"/>
        <v>9</v>
      </c>
      <c r="K17" s="174">
        <f t="shared" si="5"/>
        <v>9</v>
      </c>
      <c r="L17" s="174">
        <f t="shared" si="5"/>
        <v>0</v>
      </c>
      <c r="M17" s="174">
        <f t="shared" si="5"/>
        <v>9</v>
      </c>
      <c r="N17" s="174">
        <f t="shared" si="5"/>
        <v>0</v>
      </c>
      <c r="O17" s="174">
        <f t="shared" si="5"/>
        <v>9</v>
      </c>
      <c r="P17" s="174">
        <f t="shared" si="5"/>
        <v>0</v>
      </c>
      <c r="Q17" s="174">
        <f t="shared" si="5"/>
        <v>9</v>
      </c>
      <c r="R17" s="174">
        <f t="shared" si="5"/>
        <v>0</v>
      </c>
      <c r="S17" s="174">
        <f t="shared" si="5"/>
        <v>9</v>
      </c>
      <c r="T17" s="174">
        <f t="shared" si="5"/>
        <v>0</v>
      </c>
      <c r="U17" s="174">
        <f t="shared" si="5"/>
        <v>9</v>
      </c>
      <c r="V17" s="174">
        <f t="shared" si="5"/>
        <v>0</v>
      </c>
      <c r="W17" s="174">
        <f t="shared" si="5"/>
        <v>9</v>
      </c>
    </row>
    <row r="18" spans="1:23" s="143" customFormat="1" ht="13.5">
      <c r="A18" s="140" t="s">
        <v>229</v>
      </c>
      <c r="B18" s="140" t="s">
        <v>231</v>
      </c>
      <c r="C18" s="140" t="s">
        <v>1</v>
      </c>
      <c r="D18" s="140" t="s">
        <v>217</v>
      </c>
      <c r="E18" s="140" t="s">
        <v>221</v>
      </c>
      <c r="F18" s="141" t="s">
        <v>232</v>
      </c>
      <c r="G18" s="142">
        <f>G20+G19</f>
        <v>0</v>
      </c>
      <c r="H18" s="135"/>
      <c r="I18" s="135">
        <f aca="true" t="shared" si="6" ref="I18:O18">I19+I20</f>
        <v>0</v>
      </c>
      <c r="J18" s="135">
        <f t="shared" si="6"/>
        <v>9</v>
      </c>
      <c r="K18" s="189">
        <f t="shared" si="6"/>
        <v>9</v>
      </c>
      <c r="L18" s="189">
        <f t="shared" si="6"/>
        <v>0</v>
      </c>
      <c r="M18" s="189">
        <f t="shared" si="6"/>
        <v>9</v>
      </c>
      <c r="N18" s="189">
        <f t="shared" si="6"/>
        <v>0</v>
      </c>
      <c r="O18" s="189">
        <f t="shared" si="6"/>
        <v>9</v>
      </c>
      <c r="P18" s="189">
        <f aca="true" t="shared" si="7" ref="P18:U18">P19+P20</f>
        <v>0</v>
      </c>
      <c r="Q18" s="189">
        <f t="shared" si="7"/>
        <v>9</v>
      </c>
      <c r="R18" s="189">
        <f t="shared" si="7"/>
        <v>0</v>
      </c>
      <c r="S18" s="189">
        <f t="shared" si="7"/>
        <v>9</v>
      </c>
      <c r="T18" s="189">
        <f t="shared" si="7"/>
        <v>0</v>
      </c>
      <c r="U18" s="189">
        <f t="shared" si="7"/>
        <v>9</v>
      </c>
      <c r="V18" s="189">
        <f>V19+V20</f>
        <v>0</v>
      </c>
      <c r="W18" s="189">
        <f>W19+W20</f>
        <v>9</v>
      </c>
    </row>
    <row r="19" spans="1:23" s="143" customFormat="1" ht="13.5">
      <c r="A19" s="13" t="s">
        <v>229</v>
      </c>
      <c r="B19" s="13" t="s">
        <v>233</v>
      </c>
      <c r="C19" s="13" t="s">
        <v>1</v>
      </c>
      <c r="D19" s="13" t="s">
        <v>217</v>
      </c>
      <c r="E19" s="13" t="s">
        <v>221</v>
      </c>
      <c r="F19" s="138" t="s">
        <v>232</v>
      </c>
      <c r="G19" s="142">
        <v>0</v>
      </c>
      <c r="H19" s="135"/>
      <c r="I19" s="110"/>
      <c r="J19" s="110">
        <v>9</v>
      </c>
      <c r="K19" s="174">
        <f>I19+J19</f>
        <v>9</v>
      </c>
      <c r="L19" s="174"/>
      <c r="M19" s="174">
        <f>K19+L19</f>
        <v>9</v>
      </c>
      <c r="N19" s="174"/>
      <c r="O19" s="174">
        <f>M19+N19</f>
        <v>9</v>
      </c>
      <c r="P19" s="174"/>
      <c r="Q19" s="174">
        <f>O19+P19</f>
        <v>9</v>
      </c>
      <c r="R19" s="174"/>
      <c r="S19" s="174">
        <f>Q19+R19</f>
        <v>9</v>
      </c>
      <c r="T19" s="174"/>
      <c r="U19" s="174">
        <f>S19+T19</f>
        <v>9</v>
      </c>
      <c r="V19" s="174"/>
      <c r="W19" s="174">
        <f>U19+V19</f>
        <v>9</v>
      </c>
    </row>
    <row r="20" spans="1:23" s="146" customFormat="1" ht="25.5" hidden="1">
      <c r="A20" s="13" t="s">
        <v>229</v>
      </c>
      <c r="B20" s="13" t="s">
        <v>234</v>
      </c>
      <c r="C20" s="13" t="s">
        <v>1</v>
      </c>
      <c r="D20" s="13" t="s">
        <v>217</v>
      </c>
      <c r="E20" s="13" t="s">
        <v>221</v>
      </c>
      <c r="F20" s="138" t="s">
        <v>235</v>
      </c>
      <c r="G20" s="144">
        <v>0</v>
      </c>
      <c r="H20" s="145"/>
      <c r="I20" s="110"/>
      <c r="J20" s="110"/>
      <c r="K20" s="174">
        <f>I20+J20</f>
        <v>0</v>
      </c>
      <c r="L20" s="174">
        <f>J20+K20</f>
        <v>0</v>
      </c>
      <c r="M20" s="174">
        <f>K20+L20</f>
        <v>0</v>
      </c>
      <c r="N20" s="174">
        <f>L20+M20</f>
        <v>0</v>
      </c>
      <c r="O20" s="174">
        <f>M20+N20</f>
        <v>0</v>
      </c>
      <c r="P20" s="174">
        <f>N20+O20</f>
        <v>0</v>
      </c>
      <c r="Q20" s="174">
        <f>O20+P20</f>
        <v>0</v>
      </c>
      <c r="R20" s="174">
        <f>P20+Q20</f>
        <v>0</v>
      </c>
      <c r="S20" s="174">
        <f>Q20+R20</f>
        <v>0</v>
      </c>
      <c r="T20" s="174">
        <f>R20+S20</f>
        <v>0</v>
      </c>
      <c r="U20" s="174">
        <f>S20+T20</f>
        <v>0</v>
      </c>
      <c r="V20" s="174">
        <f>T20+U20</f>
        <v>0</v>
      </c>
      <c r="W20" s="174">
        <f>U20+V20</f>
        <v>0</v>
      </c>
    </row>
    <row r="21" spans="1:23" ht="15" customHeight="1">
      <c r="A21" s="125" t="s">
        <v>236</v>
      </c>
      <c r="B21" s="125" t="s">
        <v>215</v>
      </c>
      <c r="C21" s="125" t="s">
        <v>216</v>
      </c>
      <c r="D21" s="125" t="s">
        <v>217</v>
      </c>
      <c r="E21" s="125" t="s">
        <v>218</v>
      </c>
      <c r="F21" s="126" t="s">
        <v>237</v>
      </c>
      <c r="G21" s="127">
        <f aca="true" t="shared" si="8" ref="G21:M21">G22+G23</f>
        <v>2295.5</v>
      </c>
      <c r="H21" s="127">
        <f t="shared" si="8"/>
        <v>0</v>
      </c>
      <c r="I21" s="127">
        <f t="shared" si="8"/>
        <v>2295.5</v>
      </c>
      <c r="J21" s="127">
        <f t="shared" si="8"/>
        <v>0</v>
      </c>
      <c r="K21" s="173">
        <f t="shared" si="8"/>
        <v>2295.5</v>
      </c>
      <c r="L21" s="173">
        <f t="shared" si="8"/>
        <v>0</v>
      </c>
      <c r="M21" s="173">
        <f t="shared" si="8"/>
        <v>2295.5</v>
      </c>
      <c r="N21" s="173">
        <f aca="true" t="shared" si="9" ref="N21:S21">N22+N23</f>
        <v>0</v>
      </c>
      <c r="O21" s="173">
        <f t="shared" si="9"/>
        <v>2295.5</v>
      </c>
      <c r="P21" s="173">
        <f t="shared" si="9"/>
        <v>0</v>
      </c>
      <c r="Q21" s="173">
        <f t="shared" si="9"/>
        <v>2295.5</v>
      </c>
      <c r="R21" s="173">
        <f t="shared" si="9"/>
        <v>0</v>
      </c>
      <c r="S21" s="173">
        <f t="shared" si="9"/>
        <v>2295.5</v>
      </c>
      <c r="T21" s="173">
        <f>T22+T23</f>
        <v>550</v>
      </c>
      <c r="U21" s="173">
        <f>U22+U23</f>
        <v>2845.5</v>
      </c>
      <c r="V21" s="173">
        <f>V22+V23</f>
        <v>127</v>
      </c>
      <c r="W21" s="173">
        <f>W22+W23</f>
        <v>2972.5</v>
      </c>
    </row>
    <row r="22" spans="1:23" s="128" customFormat="1" ht="38.25">
      <c r="A22" s="129" t="s">
        <v>236</v>
      </c>
      <c r="B22" s="129" t="s">
        <v>238</v>
      </c>
      <c r="C22" s="129" t="s">
        <v>115</v>
      </c>
      <c r="D22" s="129" t="s">
        <v>217</v>
      </c>
      <c r="E22" s="129" t="s">
        <v>221</v>
      </c>
      <c r="F22" s="147" t="s">
        <v>239</v>
      </c>
      <c r="G22" s="131">
        <v>555.3</v>
      </c>
      <c r="H22" s="148"/>
      <c r="I22" s="134">
        <f>G22+H22</f>
        <v>555.3</v>
      </c>
      <c r="J22" s="134"/>
      <c r="K22" s="174">
        <f>I22+J22-10</f>
        <v>545.3</v>
      </c>
      <c r="L22" s="174"/>
      <c r="M22" s="174">
        <f>K22+L22</f>
        <v>545.3</v>
      </c>
      <c r="N22" s="174"/>
      <c r="O22" s="174">
        <f>M22+N22</f>
        <v>545.3</v>
      </c>
      <c r="P22" s="174"/>
      <c r="Q22" s="174">
        <f>O22+P22</f>
        <v>545.3</v>
      </c>
      <c r="R22" s="174"/>
      <c r="S22" s="174">
        <f>Q22+R22</f>
        <v>545.3</v>
      </c>
      <c r="T22" s="174">
        <v>-100</v>
      </c>
      <c r="U22" s="174">
        <f>S22+T22</f>
        <v>445.29999999999995</v>
      </c>
      <c r="V22" s="174">
        <v>50</v>
      </c>
      <c r="W22" s="174">
        <f>U22+V22</f>
        <v>495.29999999999995</v>
      </c>
    </row>
    <row r="23" spans="1:23" s="128" customFormat="1" ht="12.75">
      <c r="A23" s="129" t="s">
        <v>236</v>
      </c>
      <c r="B23" s="129" t="s">
        <v>240</v>
      </c>
      <c r="C23" s="129" t="s">
        <v>216</v>
      </c>
      <c r="D23" s="129" t="s">
        <v>217</v>
      </c>
      <c r="E23" s="129" t="s">
        <v>221</v>
      </c>
      <c r="F23" s="147" t="s">
        <v>241</v>
      </c>
      <c r="G23" s="131">
        <f aca="true" t="shared" si="10" ref="G23:M23">G24+G25</f>
        <v>1740.2</v>
      </c>
      <c r="H23" s="131">
        <f t="shared" si="10"/>
        <v>0</v>
      </c>
      <c r="I23" s="131">
        <f t="shared" si="10"/>
        <v>1740.2</v>
      </c>
      <c r="J23" s="131">
        <f t="shared" si="10"/>
        <v>0</v>
      </c>
      <c r="K23" s="188">
        <f t="shared" si="10"/>
        <v>1750.2</v>
      </c>
      <c r="L23" s="188">
        <f t="shared" si="10"/>
        <v>0</v>
      </c>
      <c r="M23" s="188">
        <f t="shared" si="10"/>
        <v>1750.2</v>
      </c>
      <c r="N23" s="188">
        <f aca="true" t="shared" si="11" ref="N23:S23">N24+N25</f>
        <v>0</v>
      </c>
      <c r="O23" s="188">
        <f t="shared" si="11"/>
        <v>1750.2</v>
      </c>
      <c r="P23" s="188">
        <f t="shared" si="11"/>
        <v>0</v>
      </c>
      <c r="Q23" s="188">
        <f t="shared" si="11"/>
        <v>1750.2</v>
      </c>
      <c r="R23" s="188">
        <f t="shared" si="11"/>
        <v>0</v>
      </c>
      <c r="S23" s="188">
        <f t="shared" si="11"/>
        <v>1750.2</v>
      </c>
      <c r="T23" s="188">
        <f>T24+T25</f>
        <v>650</v>
      </c>
      <c r="U23" s="188">
        <f>U24+U25</f>
        <v>2400.2</v>
      </c>
      <c r="V23" s="188">
        <f>V24+V25</f>
        <v>77</v>
      </c>
      <c r="W23" s="188">
        <f>W24+W25</f>
        <v>2477.2</v>
      </c>
    </row>
    <row r="24" spans="1:23" s="128" customFormat="1" ht="54.75" customHeight="1">
      <c r="A24" s="132" t="s">
        <v>236</v>
      </c>
      <c r="B24" s="132" t="s">
        <v>242</v>
      </c>
      <c r="C24" s="132" t="s">
        <v>115</v>
      </c>
      <c r="D24" s="132" t="s">
        <v>243</v>
      </c>
      <c r="E24" s="132" t="s">
        <v>221</v>
      </c>
      <c r="F24" s="149" t="s">
        <v>244</v>
      </c>
      <c r="G24" s="134">
        <v>1740.2</v>
      </c>
      <c r="H24" s="148"/>
      <c r="I24" s="134">
        <f>G24+H24</f>
        <v>1740.2</v>
      </c>
      <c r="J24" s="134">
        <v>-240</v>
      </c>
      <c r="K24" s="174">
        <f>I24+J24</f>
        <v>1500.2</v>
      </c>
      <c r="L24" s="174"/>
      <c r="M24" s="174">
        <f>K24+L24</f>
        <v>1500.2</v>
      </c>
      <c r="N24" s="174"/>
      <c r="O24" s="174">
        <f>M24+N24</f>
        <v>1500.2</v>
      </c>
      <c r="P24" s="174"/>
      <c r="Q24" s="174">
        <f>O24+P24</f>
        <v>1500.2</v>
      </c>
      <c r="R24" s="174"/>
      <c r="S24" s="174">
        <f>Q24+R24</f>
        <v>1500.2</v>
      </c>
      <c r="T24" s="174">
        <v>600</v>
      </c>
      <c r="U24" s="174">
        <f>S24+T24</f>
        <v>2100.2</v>
      </c>
      <c r="V24" s="174">
        <v>80</v>
      </c>
      <c r="W24" s="174">
        <f>U24+V24</f>
        <v>2180.2</v>
      </c>
    </row>
    <row r="25" spans="1:23" ht="51">
      <c r="A25" s="132" t="s">
        <v>236</v>
      </c>
      <c r="B25" s="132" t="s">
        <v>245</v>
      </c>
      <c r="C25" s="132" t="s">
        <v>115</v>
      </c>
      <c r="D25" s="132" t="s">
        <v>243</v>
      </c>
      <c r="E25" s="132" t="s">
        <v>221</v>
      </c>
      <c r="F25" s="149" t="s">
        <v>246</v>
      </c>
      <c r="G25" s="134">
        <v>0</v>
      </c>
      <c r="H25" s="110"/>
      <c r="I25" s="110"/>
      <c r="J25" s="110">
        <v>240</v>
      </c>
      <c r="K25" s="174">
        <f>I25+J25+10</f>
        <v>250</v>
      </c>
      <c r="L25" s="174"/>
      <c r="M25" s="174">
        <f>K25+L25</f>
        <v>250</v>
      </c>
      <c r="N25" s="174"/>
      <c r="O25" s="174">
        <f>M25+N25</f>
        <v>250</v>
      </c>
      <c r="P25" s="174"/>
      <c r="Q25" s="174">
        <f>O25+P25</f>
        <v>250</v>
      </c>
      <c r="R25" s="174"/>
      <c r="S25" s="174">
        <f>Q25+R25</f>
        <v>250</v>
      </c>
      <c r="T25" s="174">
        <v>50</v>
      </c>
      <c r="U25" s="174">
        <f>S25+T25</f>
        <v>300</v>
      </c>
      <c r="V25" s="174">
        <v>-3</v>
      </c>
      <c r="W25" s="174">
        <f>U25+V25</f>
        <v>297</v>
      </c>
    </row>
    <row r="26" spans="1:23" s="152" customFormat="1" ht="25.5" hidden="1">
      <c r="A26" s="150" t="s">
        <v>247</v>
      </c>
      <c r="B26" s="150" t="s">
        <v>215</v>
      </c>
      <c r="C26" s="150" t="s">
        <v>216</v>
      </c>
      <c r="D26" s="150" t="s">
        <v>217</v>
      </c>
      <c r="E26" s="150" t="s">
        <v>216</v>
      </c>
      <c r="F26" s="151" t="s">
        <v>248</v>
      </c>
      <c r="G26" s="127">
        <f>G27</f>
        <v>0</v>
      </c>
      <c r="H26" s="145"/>
      <c r="I26" s="145"/>
      <c r="J26" s="145"/>
      <c r="K26" s="173"/>
      <c r="L26" s="173"/>
      <c r="M26" s="173"/>
      <c r="N26" s="173"/>
      <c r="O26" s="173"/>
      <c r="P26" s="173"/>
      <c r="Q26" s="173"/>
      <c r="R26" s="173"/>
      <c r="S26" s="173"/>
      <c r="T26" s="173"/>
      <c r="U26" s="173"/>
      <c r="V26" s="173"/>
      <c r="W26" s="173"/>
    </row>
    <row r="27" spans="1:23" ht="12.75" hidden="1">
      <c r="A27" s="132" t="s">
        <v>247</v>
      </c>
      <c r="B27" s="132" t="s">
        <v>249</v>
      </c>
      <c r="C27" s="132" t="s">
        <v>216</v>
      </c>
      <c r="D27" s="132" t="s">
        <v>217</v>
      </c>
      <c r="E27" s="132" t="s">
        <v>221</v>
      </c>
      <c r="F27" s="149" t="s">
        <v>250</v>
      </c>
      <c r="G27" s="134">
        <f>G28</f>
        <v>0</v>
      </c>
      <c r="H27" s="110"/>
      <c r="I27" s="110"/>
      <c r="J27" s="110"/>
      <c r="K27" s="174"/>
      <c r="L27" s="174"/>
      <c r="M27" s="174"/>
      <c r="N27" s="174"/>
      <c r="O27" s="174"/>
      <c r="P27" s="174"/>
      <c r="Q27" s="174"/>
      <c r="R27" s="174"/>
      <c r="S27" s="174"/>
      <c r="T27" s="174"/>
      <c r="U27" s="174"/>
      <c r="V27" s="174"/>
      <c r="W27" s="174"/>
    </row>
    <row r="28" spans="1:23" ht="25.5" hidden="1">
      <c r="A28" s="132" t="s">
        <v>247</v>
      </c>
      <c r="B28" s="132" t="s">
        <v>251</v>
      </c>
      <c r="C28" s="132" t="s">
        <v>216</v>
      </c>
      <c r="D28" s="132" t="s">
        <v>217</v>
      </c>
      <c r="E28" s="132" t="s">
        <v>221</v>
      </c>
      <c r="F28" s="149" t="s">
        <v>252</v>
      </c>
      <c r="G28" s="134">
        <f>G29</f>
        <v>0</v>
      </c>
      <c r="H28" s="110"/>
      <c r="I28" s="110"/>
      <c r="J28" s="110"/>
      <c r="K28" s="174"/>
      <c r="L28" s="174"/>
      <c r="M28" s="174"/>
      <c r="N28" s="174"/>
      <c r="O28" s="174"/>
      <c r="P28" s="174"/>
      <c r="Q28" s="174"/>
      <c r="R28" s="174"/>
      <c r="S28" s="174"/>
      <c r="T28" s="174"/>
      <c r="U28" s="174"/>
      <c r="V28" s="174"/>
      <c r="W28" s="174"/>
    </row>
    <row r="29" spans="1:23" ht="30" customHeight="1" hidden="1">
      <c r="A29" s="132" t="s">
        <v>247</v>
      </c>
      <c r="B29" s="132" t="s">
        <v>253</v>
      </c>
      <c r="C29" s="132" t="s">
        <v>115</v>
      </c>
      <c r="D29" s="132" t="s">
        <v>217</v>
      </c>
      <c r="E29" s="132" t="s">
        <v>221</v>
      </c>
      <c r="F29" s="149" t="s">
        <v>254</v>
      </c>
      <c r="G29" s="134">
        <v>0</v>
      </c>
      <c r="H29" s="110"/>
      <c r="I29" s="110"/>
      <c r="J29" s="110"/>
      <c r="K29" s="174"/>
      <c r="L29" s="174"/>
      <c r="M29" s="174"/>
      <c r="N29" s="174"/>
      <c r="O29" s="174"/>
      <c r="P29" s="174"/>
      <c r="Q29" s="174"/>
      <c r="R29" s="174"/>
      <c r="S29" s="174"/>
      <c r="T29" s="174"/>
      <c r="U29" s="174"/>
      <c r="V29" s="174"/>
      <c r="W29" s="174"/>
    </row>
    <row r="30" spans="1:23" s="152" customFormat="1" ht="38.25">
      <c r="A30" s="125" t="s">
        <v>95</v>
      </c>
      <c r="B30" s="125" t="s">
        <v>215</v>
      </c>
      <c r="C30" s="125" t="s">
        <v>216</v>
      </c>
      <c r="D30" s="125" t="s">
        <v>217</v>
      </c>
      <c r="E30" s="125" t="s">
        <v>218</v>
      </c>
      <c r="F30" s="153" t="s">
        <v>255</v>
      </c>
      <c r="G30" s="127">
        <f aca="true" t="shared" si="12" ref="G30:M30">G31+G34</f>
        <v>2320</v>
      </c>
      <c r="H30" s="127">
        <f t="shared" si="12"/>
        <v>0</v>
      </c>
      <c r="I30" s="127">
        <f t="shared" si="12"/>
        <v>2320</v>
      </c>
      <c r="J30" s="127">
        <f t="shared" si="12"/>
        <v>-35</v>
      </c>
      <c r="K30" s="173">
        <f t="shared" si="12"/>
        <v>2240</v>
      </c>
      <c r="L30" s="173">
        <f t="shared" si="12"/>
        <v>0</v>
      </c>
      <c r="M30" s="173">
        <f t="shared" si="12"/>
        <v>2240</v>
      </c>
      <c r="N30" s="173">
        <f aca="true" t="shared" si="13" ref="N30:S30">N31+N34</f>
        <v>2300</v>
      </c>
      <c r="O30" s="173">
        <f t="shared" si="13"/>
        <v>4540</v>
      </c>
      <c r="P30" s="173">
        <f t="shared" si="13"/>
        <v>0</v>
      </c>
      <c r="Q30" s="173">
        <f t="shared" si="13"/>
        <v>4540</v>
      </c>
      <c r="R30" s="173">
        <f t="shared" si="13"/>
        <v>0</v>
      </c>
      <c r="S30" s="173">
        <f t="shared" si="13"/>
        <v>4540</v>
      </c>
      <c r="T30" s="173">
        <f>T31+T34</f>
        <v>1742</v>
      </c>
      <c r="U30" s="173">
        <f>U31+U34</f>
        <v>6282</v>
      </c>
      <c r="V30" s="173">
        <f>V31+V34</f>
        <v>-81</v>
      </c>
      <c r="W30" s="173">
        <f>W31+W34</f>
        <v>6201</v>
      </c>
    </row>
    <row r="31" spans="1:23" s="128" customFormat="1" ht="64.5" customHeight="1">
      <c r="A31" s="129" t="s">
        <v>95</v>
      </c>
      <c r="B31" s="129" t="s">
        <v>256</v>
      </c>
      <c r="C31" s="129" t="s">
        <v>216</v>
      </c>
      <c r="D31" s="129" t="s">
        <v>217</v>
      </c>
      <c r="E31" s="129" t="s">
        <v>257</v>
      </c>
      <c r="F31" s="147" t="s">
        <v>258</v>
      </c>
      <c r="G31" s="131">
        <f aca="true" t="shared" si="14" ref="G31:M31">G32+G33</f>
        <v>2320</v>
      </c>
      <c r="H31" s="131">
        <f t="shared" si="14"/>
        <v>0</v>
      </c>
      <c r="I31" s="131">
        <f t="shared" si="14"/>
        <v>2320</v>
      </c>
      <c r="J31" s="131">
        <f t="shared" si="14"/>
        <v>-35</v>
      </c>
      <c r="K31" s="188">
        <f t="shared" si="14"/>
        <v>2240</v>
      </c>
      <c r="L31" s="188">
        <f t="shared" si="14"/>
        <v>0</v>
      </c>
      <c r="M31" s="188">
        <f t="shared" si="14"/>
        <v>2240</v>
      </c>
      <c r="N31" s="188">
        <f aca="true" t="shared" si="15" ref="N31:S31">N32+N33</f>
        <v>2300</v>
      </c>
      <c r="O31" s="188">
        <f t="shared" si="15"/>
        <v>4540</v>
      </c>
      <c r="P31" s="188">
        <f t="shared" si="15"/>
        <v>0</v>
      </c>
      <c r="Q31" s="188">
        <f t="shared" si="15"/>
        <v>4540</v>
      </c>
      <c r="R31" s="188">
        <f t="shared" si="15"/>
        <v>0</v>
      </c>
      <c r="S31" s="188">
        <f t="shared" si="15"/>
        <v>4540</v>
      </c>
      <c r="T31" s="188">
        <f>T32+T33</f>
        <v>1742</v>
      </c>
      <c r="U31" s="188">
        <f>U32+U33</f>
        <v>6282</v>
      </c>
      <c r="V31" s="188">
        <f>V32+V33</f>
        <v>-81</v>
      </c>
      <c r="W31" s="188">
        <f>W32+W33</f>
        <v>6201</v>
      </c>
    </row>
    <row r="32" spans="1:23" ht="50.25" customHeight="1">
      <c r="A32" s="132" t="s">
        <v>95</v>
      </c>
      <c r="B32" s="132" t="s">
        <v>259</v>
      </c>
      <c r="C32" s="132" t="s">
        <v>115</v>
      </c>
      <c r="D32" s="132" t="s">
        <v>217</v>
      </c>
      <c r="E32" s="132" t="s">
        <v>257</v>
      </c>
      <c r="F32" s="154" t="s">
        <v>260</v>
      </c>
      <c r="G32" s="134">
        <v>2250</v>
      </c>
      <c r="H32" s="155"/>
      <c r="I32" s="134">
        <f>G32+H32</f>
        <v>2250</v>
      </c>
      <c r="J32" s="134"/>
      <c r="K32" s="174">
        <f>I32+J32-45</f>
        <v>2205</v>
      </c>
      <c r="L32" s="174"/>
      <c r="M32" s="174">
        <f>K32+L32</f>
        <v>2205</v>
      </c>
      <c r="N32" s="174">
        <v>2300</v>
      </c>
      <c r="O32" s="174">
        <f>M32+N32</f>
        <v>4505</v>
      </c>
      <c r="P32" s="174"/>
      <c r="Q32" s="174">
        <f>O32+P32</f>
        <v>4505</v>
      </c>
      <c r="R32" s="174"/>
      <c r="S32" s="174">
        <f>Q32+R32</f>
        <v>4505</v>
      </c>
      <c r="T32" s="174">
        <v>1736</v>
      </c>
      <c r="U32" s="174">
        <f>S32+T32</f>
        <v>6241</v>
      </c>
      <c r="V32" s="174">
        <v>-81</v>
      </c>
      <c r="W32" s="174">
        <f>U32+V32</f>
        <v>6160</v>
      </c>
    </row>
    <row r="33" spans="1:23" ht="51" customHeight="1">
      <c r="A33" s="132" t="s">
        <v>95</v>
      </c>
      <c r="B33" s="132" t="s">
        <v>261</v>
      </c>
      <c r="C33" s="132" t="s">
        <v>115</v>
      </c>
      <c r="D33" s="132" t="s">
        <v>217</v>
      </c>
      <c r="E33" s="132" t="s">
        <v>257</v>
      </c>
      <c r="F33" s="154" t="s">
        <v>262</v>
      </c>
      <c r="G33" s="134">
        <v>70</v>
      </c>
      <c r="H33" s="110"/>
      <c r="I33" s="134">
        <f>G33+H33</f>
        <v>70</v>
      </c>
      <c r="J33" s="134">
        <v>-35</v>
      </c>
      <c r="K33" s="174">
        <f>I33+J33</f>
        <v>35</v>
      </c>
      <c r="L33" s="174">
        <f>J33+K33</f>
        <v>0</v>
      </c>
      <c r="M33" s="174">
        <f>K33+L33</f>
        <v>35</v>
      </c>
      <c r="N33" s="174"/>
      <c r="O33" s="174">
        <f>M33+N33</f>
        <v>35</v>
      </c>
      <c r="P33" s="174"/>
      <c r="Q33" s="174">
        <f>O33+P33</f>
        <v>35</v>
      </c>
      <c r="R33" s="174"/>
      <c r="S33" s="174">
        <f>Q33+R33</f>
        <v>35</v>
      </c>
      <c r="T33" s="174">
        <v>6</v>
      </c>
      <c r="U33" s="174">
        <f>S33+T33</f>
        <v>41</v>
      </c>
      <c r="V33" s="174"/>
      <c r="W33" s="174">
        <f>U33+V33</f>
        <v>41</v>
      </c>
    </row>
    <row r="34" spans="1:23" s="158" customFormat="1" ht="58.5" customHeight="1" hidden="1">
      <c r="A34" s="140" t="s">
        <v>95</v>
      </c>
      <c r="B34" s="140" t="s">
        <v>263</v>
      </c>
      <c r="C34" s="140" t="s">
        <v>115</v>
      </c>
      <c r="D34" s="140" t="s">
        <v>217</v>
      </c>
      <c r="E34" s="140" t="s">
        <v>257</v>
      </c>
      <c r="F34" s="156" t="s">
        <v>264</v>
      </c>
      <c r="G34" s="142">
        <v>0</v>
      </c>
      <c r="H34" s="157"/>
      <c r="I34" s="157"/>
      <c r="J34" s="157"/>
      <c r="K34" s="190"/>
      <c r="L34" s="190"/>
      <c r="M34" s="190"/>
      <c r="N34" s="190"/>
      <c r="O34" s="190"/>
      <c r="P34" s="190"/>
      <c r="Q34" s="190"/>
      <c r="R34" s="190"/>
      <c r="S34" s="190"/>
      <c r="T34" s="190"/>
      <c r="U34" s="190"/>
      <c r="V34" s="190"/>
      <c r="W34" s="190"/>
    </row>
    <row r="35" spans="1:23" s="152" customFormat="1" ht="25.5">
      <c r="A35" s="150" t="s">
        <v>265</v>
      </c>
      <c r="B35" s="150" t="s">
        <v>215</v>
      </c>
      <c r="C35" s="150" t="s">
        <v>216</v>
      </c>
      <c r="D35" s="150" t="s">
        <v>217</v>
      </c>
      <c r="E35" s="150" t="s">
        <v>218</v>
      </c>
      <c r="F35" s="159" t="s">
        <v>266</v>
      </c>
      <c r="G35" s="127">
        <f>G36</f>
        <v>23</v>
      </c>
      <c r="H35" s="127">
        <f aca="true" t="shared" si="16" ref="H35:W37">H36</f>
        <v>0</v>
      </c>
      <c r="I35" s="127">
        <f t="shared" si="16"/>
        <v>23</v>
      </c>
      <c r="J35" s="127">
        <f t="shared" si="16"/>
        <v>0</v>
      </c>
      <c r="K35" s="173">
        <f t="shared" si="16"/>
        <v>35</v>
      </c>
      <c r="L35" s="173">
        <f t="shared" si="16"/>
        <v>0</v>
      </c>
      <c r="M35" s="173">
        <f t="shared" si="16"/>
        <v>35</v>
      </c>
      <c r="N35" s="173">
        <f t="shared" si="16"/>
        <v>0</v>
      </c>
      <c r="O35" s="173">
        <f t="shared" si="16"/>
        <v>35</v>
      </c>
      <c r="P35" s="173">
        <f t="shared" si="16"/>
        <v>0</v>
      </c>
      <c r="Q35" s="173">
        <f t="shared" si="16"/>
        <v>35</v>
      </c>
      <c r="R35" s="173">
        <f t="shared" si="16"/>
        <v>0</v>
      </c>
      <c r="S35" s="173">
        <f t="shared" si="16"/>
        <v>35</v>
      </c>
      <c r="T35" s="173">
        <f t="shared" si="16"/>
        <v>0</v>
      </c>
      <c r="U35" s="173">
        <f t="shared" si="16"/>
        <v>35</v>
      </c>
      <c r="V35" s="173">
        <f t="shared" si="16"/>
        <v>0</v>
      </c>
      <c r="W35" s="173">
        <f t="shared" si="16"/>
        <v>35</v>
      </c>
    </row>
    <row r="36" spans="1:23" s="128" customFormat="1" ht="12.75">
      <c r="A36" s="140" t="s">
        <v>265</v>
      </c>
      <c r="B36" s="140" t="s">
        <v>267</v>
      </c>
      <c r="C36" s="140" t="s">
        <v>216</v>
      </c>
      <c r="D36" s="140" t="s">
        <v>217</v>
      </c>
      <c r="E36" s="140" t="s">
        <v>268</v>
      </c>
      <c r="F36" s="141" t="s">
        <v>269</v>
      </c>
      <c r="G36" s="131">
        <f>G37</f>
        <v>23</v>
      </c>
      <c r="H36" s="131">
        <f t="shared" si="16"/>
        <v>0</v>
      </c>
      <c r="I36" s="131">
        <f t="shared" si="16"/>
        <v>23</v>
      </c>
      <c r="J36" s="131">
        <f t="shared" si="16"/>
        <v>0</v>
      </c>
      <c r="K36" s="188">
        <f t="shared" si="16"/>
        <v>35</v>
      </c>
      <c r="L36" s="188">
        <f t="shared" si="16"/>
        <v>0</v>
      </c>
      <c r="M36" s="188">
        <f t="shared" si="16"/>
        <v>35</v>
      </c>
      <c r="N36" s="188">
        <f t="shared" si="16"/>
        <v>0</v>
      </c>
      <c r="O36" s="188">
        <f t="shared" si="16"/>
        <v>35</v>
      </c>
      <c r="P36" s="188">
        <f t="shared" si="16"/>
        <v>0</v>
      </c>
      <c r="Q36" s="188">
        <f t="shared" si="16"/>
        <v>35</v>
      </c>
      <c r="R36" s="188">
        <f t="shared" si="16"/>
        <v>0</v>
      </c>
      <c r="S36" s="188">
        <f t="shared" si="16"/>
        <v>35</v>
      </c>
      <c r="T36" s="188">
        <f t="shared" si="16"/>
        <v>0</v>
      </c>
      <c r="U36" s="188">
        <f t="shared" si="16"/>
        <v>35</v>
      </c>
      <c r="V36" s="188">
        <f t="shared" si="16"/>
        <v>0</v>
      </c>
      <c r="W36" s="188">
        <f t="shared" si="16"/>
        <v>35</v>
      </c>
    </row>
    <row r="37" spans="1:23" ht="12.75">
      <c r="A37" s="13" t="s">
        <v>265</v>
      </c>
      <c r="B37" s="13" t="s">
        <v>270</v>
      </c>
      <c r="C37" s="13" t="s">
        <v>216</v>
      </c>
      <c r="D37" s="13" t="s">
        <v>217</v>
      </c>
      <c r="E37" s="13" t="s">
        <v>268</v>
      </c>
      <c r="F37" s="160" t="s">
        <v>271</v>
      </c>
      <c r="G37" s="134">
        <f>G38</f>
        <v>23</v>
      </c>
      <c r="H37" s="134">
        <f t="shared" si="16"/>
        <v>0</v>
      </c>
      <c r="I37" s="134">
        <f t="shared" si="16"/>
        <v>23</v>
      </c>
      <c r="J37" s="134">
        <f t="shared" si="16"/>
        <v>0</v>
      </c>
      <c r="K37" s="174">
        <f t="shared" si="16"/>
        <v>35</v>
      </c>
      <c r="L37" s="174">
        <f t="shared" si="16"/>
        <v>0</v>
      </c>
      <c r="M37" s="174">
        <f t="shared" si="16"/>
        <v>35</v>
      </c>
      <c r="N37" s="174">
        <f t="shared" si="16"/>
        <v>0</v>
      </c>
      <c r="O37" s="174">
        <f t="shared" si="16"/>
        <v>35</v>
      </c>
      <c r="P37" s="174">
        <f t="shared" si="16"/>
        <v>0</v>
      </c>
      <c r="Q37" s="174">
        <f t="shared" si="16"/>
        <v>35</v>
      </c>
      <c r="R37" s="174">
        <f t="shared" si="16"/>
        <v>0</v>
      </c>
      <c r="S37" s="174">
        <f t="shared" si="16"/>
        <v>35</v>
      </c>
      <c r="T37" s="174">
        <f t="shared" si="16"/>
        <v>0</v>
      </c>
      <c r="U37" s="174">
        <f t="shared" si="16"/>
        <v>35</v>
      </c>
      <c r="V37" s="174">
        <f t="shared" si="16"/>
        <v>0</v>
      </c>
      <c r="W37" s="174">
        <f t="shared" si="16"/>
        <v>35</v>
      </c>
    </row>
    <row r="38" spans="1:23" ht="25.5">
      <c r="A38" s="13" t="s">
        <v>265</v>
      </c>
      <c r="B38" s="13" t="s">
        <v>272</v>
      </c>
      <c r="C38" s="13" t="s">
        <v>115</v>
      </c>
      <c r="D38" s="13" t="s">
        <v>217</v>
      </c>
      <c r="E38" s="13" t="s">
        <v>268</v>
      </c>
      <c r="F38" s="160" t="s">
        <v>273</v>
      </c>
      <c r="G38" s="134">
        <v>23</v>
      </c>
      <c r="H38" s="110"/>
      <c r="I38" s="134">
        <f>G38+H38</f>
        <v>23</v>
      </c>
      <c r="J38" s="134"/>
      <c r="K38" s="174">
        <f>I38+J38+12</f>
        <v>35</v>
      </c>
      <c r="L38" s="174"/>
      <c r="M38" s="174">
        <f>K38+L38</f>
        <v>35</v>
      </c>
      <c r="N38" s="174"/>
      <c r="O38" s="174">
        <f>M38+N38</f>
        <v>35</v>
      </c>
      <c r="P38" s="174"/>
      <c r="Q38" s="174">
        <f>O38+P38</f>
        <v>35</v>
      </c>
      <c r="R38" s="174"/>
      <c r="S38" s="174">
        <f>Q38+R38</f>
        <v>35</v>
      </c>
      <c r="T38" s="174"/>
      <c r="U38" s="174">
        <f>S38+T38</f>
        <v>35</v>
      </c>
      <c r="V38" s="174"/>
      <c r="W38" s="174">
        <f>U38+V38</f>
        <v>35</v>
      </c>
    </row>
    <row r="39" spans="1:23" ht="26.25" customHeight="1">
      <c r="A39" s="125" t="s">
        <v>274</v>
      </c>
      <c r="B39" s="125" t="s">
        <v>215</v>
      </c>
      <c r="C39" s="125" t="s">
        <v>216</v>
      </c>
      <c r="D39" s="125" t="s">
        <v>217</v>
      </c>
      <c r="E39" s="125" t="s">
        <v>218</v>
      </c>
      <c r="F39" s="161" t="s">
        <v>275</v>
      </c>
      <c r="G39" s="127">
        <f aca="true" t="shared" si="17" ref="G39:M39">G41+G40</f>
        <v>335</v>
      </c>
      <c r="H39" s="127">
        <f t="shared" si="17"/>
        <v>0</v>
      </c>
      <c r="I39" s="127">
        <f t="shared" si="17"/>
        <v>335</v>
      </c>
      <c r="J39" s="127">
        <f t="shared" si="17"/>
        <v>435</v>
      </c>
      <c r="K39" s="173">
        <f t="shared" si="17"/>
        <v>803</v>
      </c>
      <c r="L39" s="173">
        <f t="shared" si="17"/>
        <v>0</v>
      </c>
      <c r="M39" s="173">
        <f t="shared" si="17"/>
        <v>803</v>
      </c>
      <c r="N39" s="173">
        <f aca="true" t="shared" si="18" ref="N39:S39">N41+N40</f>
        <v>300</v>
      </c>
      <c r="O39" s="173">
        <f t="shared" si="18"/>
        <v>1103</v>
      </c>
      <c r="P39" s="173">
        <f t="shared" si="18"/>
        <v>1150</v>
      </c>
      <c r="Q39" s="173">
        <f t="shared" si="18"/>
        <v>2253</v>
      </c>
      <c r="R39" s="173">
        <f t="shared" si="18"/>
        <v>0</v>
      </c>
      <c r="S39" s="173">
        <f t="shared" si="18"/>
        <v>2253</v>
      </c>
      <c r="T39" s="173">
        <f>T41+T40</f>
        <v>837</v>
      </c>
      <c r="U39" s="173">
        <f>U41+U40</f>
        <v>3090</v>
      </c>
      <c r="V39" s="173">
        <f>V41+V40</f>
        <v>43</v>
      </c>
      <c r="W39" s="173">
        <f>W41+W40</f>
        <v>3133</v>
      </c>
    </row>
    <row r="40" spans="1:23" ht="63.75" customHeight="1">
      <c r="A40" s="132" t="s">
        <v>274</v>
      </c>
      <c r="B40" s="132" t="s">
        <v>276</v>
      </c>
      <c r="C40" s="132" t="s">
        <v>115</v>
      </c>
      <c r="D40" s="132" t="s">
        <v>217</v>
      </c>
      <c r="E40" s="132" t="s">
        <v>277</v>
      </c>
      <c r="F40" s="154" t="s">
        <v>278</v>
      </c>
      <c r="G40" s="134"/>
      <c r="H40" s="134"/>
      <c r="I40" s="134">
        <f>G40+H40</f>
        <v>0</v>
      </c>
      <c r="J40" s="134">
        <v>400</v>
      </c>
      <c r="K40" s="174">
        <f>I40+J40</f>
        <v>400</v>
      </c>
      <c r="L40" s="174"/>
      <c r="M40" s="174">
        <f>K40+L40</f>
        <v>400</v>
      </c>
      <c r="N40" s="174"/>
      <c r="O40" s="174">
        <f>M40+N40</f>
        <v>400</v>
      </c>
      <c r="P40" s="174"/>
      <c r="Q40" s="174">
        <f>O40+P40</f>
        <v>400</v>
      </c>
      <c r="R40" s="174"/>
      <c r="S40" s="174">
        <f>Q40+R40</f>
        <v>400</v>
      </c>
      <c r="T40" s="174"/>
      <c r="U40" s="174">
        <f>S40+T40</f>
        <v>400</v>
      </c>
      <c r="V40" s="174"/>
      <c r="W40" s="174">
        <f>U40+V40</f>
        <v>400</v>
      </c>
    </row>
    <row r="41" spans="1:23" ht="38.25" customHeight="1">
      <c r="A41" s="132" t="s">
        <v>274</v>
      </c>
      <c r="B41" s="132" t="s">
        <v>242</v>
      </c>
      <c r="C41" s="132" t="s">
        <v>115</v>
      </c>
      <c r="D41" s="132" t="s">
        <v>217</v>
      </c>
      <c r="E41" s="132" t="s">
        <v>279</v>
      </c>
      <c r="F41" s="154" t="s">
        <v>280</v>
      </c>
      <c r="G41" s="134">
        <v>335</v>
      </c>
      <c r="H41" s="110"/>
      <c r="I41" s="134">
        <f>G41+H41</f>
        <v>335</v>
      </c>
      <c r="J41" s="134">
        <v>35</v>
      </c>
      <c r="K41" s="174">
        <f>I41+J41+33</f>
        <v>403</v>
      </c>
      <c r="L41" s="174"/>
      <c r="M41" s="174">
        <f>K41+L41</f>
        <v>403</v>
      </c>
      <c r="N41" s="174">
        <v>300</v>
      </c>
      <c r="O41" s="174">
        <f>M41+N41</f>
        <v>703</v>
      </c>
      <c r="P41" s="174">
        <v>1150</v>
      </c>
      <c r="Q41" s="174">
        <f>O41+P41</f>
        <v>1853</v>
      </c>
      <c r="R41" s="174"/>
      <c r="S41" s="174">
        <f>Q41+R41</f>
        <v>1853</v>
      </c>
      <c r="T41" s="174">
        <v>837</v>
      </c>
      <c r="U41" s="174">
        <f>S41+T41</f>
        <v>2690</v>
      </c>
      <c r="V41" s="174">
        <v>43</v>
      </c>
      <c r="W41" s="174">
        <f>U41+V41</f>
        <v>2733</v>
      </c>
    </row>
    <row r="42" spans="1:23" s="114" customFormat="1" ht="38.25" customHeight="1">
      <c r="A42" s="150" t="s">
        <v>345</v>
      </c>
      <c r="B42" s="150" t="s">
        <v>346</v>
      </c>
      <c r="C42" s="150" t="s">
        <v>216</v>
      </c>
      <c r="D42" s="150" t="s">
        <v>217</v>
      </c>
      <c r="E42" s="150" t="s">
        <v>347</v>
      </c>
      <c r="F42" s="221" t="s">
        <v>349</v>
      </c>
      <c r="G42" s="222"/>
      <c r="H42" s="199"/>
      <c r="I42" s="222"/>
      <c r="J42" s="222"/>
      <c r="K42" s="181"/>
      <c r="L42" s="181"/>
      <c r="M42" s="181"/>
      <c r="N42" s="181"/>
      <c r="O42" s="181">
        <f aca="true" t="shared" si="19" ref="O42:W43">O43</f>
        <v>0</v>
      </c>
      <c r="P42" s="181">
        <f t="shared" si="19"/>
        <v>10</v>
      </c>
      <c r="Q42" s="181">
        <f t="shared" si="19"/>
        <v>10</v>
      </c>
      <c r="R42" s="181">
        <f t="shared" si="19"/>
        <v>0</v>
      </c>
      <c r="S42" s="181">
        <f>S43+S45</f>
        <v>10</v>
      </c>
      <c r="T42" s="181">
        <f>T43+T45</f>
        <v>4</v>
      </c>
      <c r="U42" s="181">
        <f>U43+U45</f>
        <v>14</v>
      </c>
      <c r="V42" s="181">
        <f>V43+V45</f>
        <v>0</v>
      </c>
      <c r="W42" s="181">
        <f>W43+W45</f>
        <v>14</v>
      </c>
    </row>
    <row r="43" spans="1:23" s="114" customFormat="1" ht="38.25" customHeight="1">
      <c r="A43" s="13" t="s">
        <v>345</v>
      </c>
      <c r="B43" s="13" t="s">
        <v>348</v>
      </c>
      <c r="C43" s="13" t="s">
        <v>216</v>
      </c>
      <c r="D43" s="13" t="s">
        <v>217</v>
      </c>
      <c r="E43" s="13" t="s">
        <v>347</v>
      </c>
      <c r="F43" s="223" t="s">
        <v>350</v>
      </c>
      <c r="G43" s="144"/>
      <c r="H43" s="202"/>
      <c r="I43" s="144"/>
      <c r="J43" s="144"/>
      <c r="K43" s="200"/>
      <c r="L43" s="200"/>
      <c r="M43" s="200"/>
      <c r="N43" s="200"/>
      <c r="O43" s="200">
        <f t="shared" si="19"/>
        <v>0</v>
      </c>
      <c r="P43" s="200">
        <f t="shared" si="19"/>
        <v>10</v>
      </c>
      <c r="Q43" s="200">
        <f t="shared" si="19"/>
        <v>10</v>
      </c>
      <c r="R43" s="200">
        <f t="shared" si="19"/>
        <v>0</v>
      </c>
      <c r="S43" s="200">
        <f t="shared" si="19"/>
        <v>10</v>
      </c>
      <c r="T43" s="200">
        <f t="shared" si="19"/>
        <v>0</v>
      </c>
      <c r="U43" s="200">
        <f t="shared" si="19"/>
        <v>10</v>
      </c>
      <c r="V43" s="200">
        <f t="shared" si="19"/>
        <v>0</v>
      </c>
      <c r="W43" s="200">
        <f t="shared" si="19"/>
        <v>10</v>
      </c>
    </row>
    <row r="44" spans="1:23" s="114" customFormat="1" ht="38.25" customHeight="1">
      <c r="A44" s="13" t="s">
        <v>345</v>
      </c>
      <c r="B44" s="13" t="s">
        <v>348</v>
      </c>
      <c r="C44" s="13" t="s">
        <v>115</v>
      </c>
      <c r="D44" s="13" t="s">
        <v>217</v>
      </c>
      <c r="E44" s="13" t="s">
        <v>347</v>
      </c>
      <c r="F44" s="223" t="s">
        <v>351</v>
      </c>
      <c r="G44" s="144"/>
      <c r="H44" s="202"/>
      <c r="I44" s="144"/>
      <c r="J44" s="144"/>
      <c r="K44" s="200"/>
      <c r="L44" s="200"/>
      <c r="M44" s="200"/>
      <c r="N44" s="200"/>
      <c r="O44" s="200">
        <v>0</v>
      </c>
      <c r="P44" s="200">
        <v>10</v>
      </c>
      <c r="Q44" s="200">
        <f>O44+P44</f>
        <v>10</v>
      </c>
      <c r="R44" s="200"/>
      <c r="S44" s="200">
        <f>Q44+R44</f>
        <v>10</v>
      </c>
      <c r="T44" s="200"/>
      <c r="U44" s="200">
        <f>S44+T44</f>
        <v>10</v>
      </c>
      <c r="V44" s="200"/>
      <c r="W44" s="200">
        <f>U44+V44</f>
        <v>10</v>
      </c>
    </row>
    <row r="45" spans="1:23" s="114" customFormat="1" ht="25.5">
      <c r="A45" s="13" t="s">
        <v>345</v>
      </c>
      <c r="B45" s="13" t="s">
        <v>371</v>
      </c>
      <c r="C45" s="13" t="s">
        <v>216</v>
      </c>
      <c r="D45" s="13" t="s">
        <v>217</v>
      </c>
      <c r="E45" s="13" t="s">
        <v>347</v>
      </c>
      <c r="F45" s="223" t="s">
        <v>373</v>
      </c>
      <c r="G45" s="144"/>
      <c r="H45" s="202"/>
      <c r="I45" s="144"/>
      <c r="J45" s="144"/>
      <c r="K45" s="200"/>
      <c r="L45" s="200"/>
      <c r="M45" s="200"/>
      <c r="N45" s="200"/>
      <c r="O45" s="200"/>
      <c r="P45" s="200"/>
      <c r="Q45" s="200"/>
      <c r="R45" s="200"/>
      <c r="S45" s="200">
        <f>S46</f>
        <v>0</v>
      </c>
      <c r="T45" s="200">
        <f>T46</f>
        <v>4</v>
      </c>
      <c r="U45" s="200">
        <f>U46</f>
        <v>4</v>
      </c>
      <c r="V45" s="200">
        <f>V46</f>
        <v>0</v>
      </c>
      <c r="W45" s="200">
        <f>W46</f>
        <v>4</v>
      </c>
    </row>
    <row r="46" spans="1:23" s="114" customFormat="1" ht="25.5">
      <c r="A46" s="13" t="s">
        <v>345</v>
      </c>
      <c r="B46" s="13" t="s">
        <v>372</v>
      </c>
      <c r="C46" s="13" t="s">
        <v>115</v>
      </c>
      <c r="D46" s="13" t="s">
        <v>217</v>
      </c>
      <c r="E46" s="13" t="s">
        <v>347</v>
      </c>
      <c r="F46" s="223" t="s">
        <v>355</v>
      </c>
      <c r="G46" s="144"/>
      <c r="H46" s="202"/>
      <c r="I46" s="144"/>
      <c r="J46" s="144"/>
      <c r="K46" s="200"/>
      <c r="L46" s="200"/>
      <c r="M46" s="200"/>
      <c r="N46" s="200"/>
      <c r="O46" s="200"/>
      <c r="P46" s="200"/>
      <c r="Q46" s="200"/>
      <c r="R46" s="200"/>
      <c r="S46" s="200"/>
      <c r="T46" s="200">
        <v>4</v>
      </c>
      <c r="U46" s="200">
        <f>S46+T46</f>
        <v>4</v>
      </c>
      <c r="V46" s="200"/>
      <c r="W46" s="200">
        <f>U46+V46</f>
        <v>4</v>
      </c>
    </row>
    <row r="47" spans="1:23" s="152" customFormat="1" ht="12.75" customHeight="1">
      <c r="A47" s="125" t="s">
        <v>281</v>
      </c>
      <c r="B47" s="125" t="s">
        <v>215</v>
      </c>
      <c r="C47" s="125" t="s">
        <v>216</v>
      </c>
      <c r="D47" s="125" t="s">
        <v>217</v>
      </c>
      <c r="E47" s="125" t="s">
        <v>218</v>
      </c>
      <c r="F47" s="161" t="s">
        <v>282</v>
      </c>
      <c r="G47" s="127">
        <f>G48+G50</f>
        <v>0</v>
      </c>
      <c r="H47" s="145"/>
      <c r="I47" s="145"/>
      <c r="J47" s="145"/>
      <c r="K47" s="173"/>
      <c r="L47" s="173"/>
      <c r="M47" s="173"/>
      <c r="N47" s="173"/>
      <c r="O47" s="173"/>
      <c r="P47" s="173"/>
      <c r="Q47" s="173"/>
      <c r="R47" s="173"/>
      <c r="S47" s="173">
        <f>S48</f>
        <v>0</v>
      </c>
      <c r="T47" s="173">
        <f>T48</f>
        <v>583.2</v>
      </c>
      <c r="U47" s="173">
        <f>U48</f>
        <v>583.2</v>
      </c>
      <c r="V47" s="173">
        <f>V48</f>
        <v>0</v>
      </c>
      <c r="W47" s="173">
        <f>W48</f>
        <v>583.2</v>
      </c>
    </row>
    <row r="48" spans="1:23" ht="12.75" customHeight="1">
      <c r="A48" s="132" t="s">
        <v>281</v>
      </c>
      <c r="B48" s="132" t="s">
        <v>267</v>
      </c>
      <c r="C48" s="132" t="s">
        <v>216</v>
      </c>
      <c r="D48" s="132" t="s">
        <v>217</v>
      </c>
      <c r="E48" s="132" t="s">
        <v>283</v>
      </c>
      <c r="F48" s="154" t="s">
        <v>284</v>
      </c>
      <c r="G48" s="134">
        <f>G49</f>
        <v>0</v>
      </c>
      <c r="H48" s="110"/>
      <c r="I48" s="110"/>
      <c r="J48" s="110"/>
      <c r="K48" s="174"/>
      <c r="L48" s="174"/>
      <c r="M48" s="174"/>
      <c r="N48" s="174"/>
      <c r="O48" s="174"/>
      <c r="P48" s="174"/>
      <c r="Q48" s="174"/>
      <c r="R48" s="174"/>
      <c r="S48" s="174">
        <f>S49+S50</f>
        <v>0</v>
      </c>
      <c r="T48" s="174">
        <f>T49+T50</f>
        <v>583.2</v>
      </c>
      <c r="U48" s="174">
        <f>U49+U50</f>
        <v>583.2</v>
      </c>
      <c r="V48" s="174">
        <f>V49+V50</f>
        <v>0</v>
      </c>
      <c r="W48" s="174">
        <f>W49+W50</f>
        <v>583.2</v>
      </c>
    </row>
    <row r="49" spans="1:23" ht="12.75" customHeight="1" hidden="1">
      <c r="A49" s="132" t="s">
        <v>281</v>
      </c>
      <c r="B49" s="132" t="s">
        <v>285</v>
      </c>
      <c r="C49" s="132" t="s">
        <v>115</v>
      </c>
      <c r="D49" s="132" t="s">
        <v>217</v>
      </c>
      <c r="E49" s="132" t="s">
        <v>283</v>
      </c>
      <c r="F49" s="154" t="s">
        <v>286</v>
      </c>
      <c r="G49" s="134">
        <v>0</v>
      </c>
      <c r="H49" s="110"/>
      <c r="I49" s="110"/>
      <c r="J49" s="110"/>
      <c r="K49" s="174"/>
      <c r="L49" s="174"/>
      <c r="M49" s="174"/>
      <c r="N49" s="174"/>
      <c r="O49" s="174"/>
      <c r="P49" s="174"/>
      <c r="Q49" s="174"/>
      <c r="R49" s="174"/>
      <c r="S49" s="174"/>
      <c r="T49" s="174"/>
      <c r="U49" s="174">
        <f>S49+T49</f>
        <v>0</v>
      </c>
      <c r="V49" s="174">
        <f>T49+U49</f>
        <v>0</v>
      </c>
      <c r="W49" s="174">
        <f>U49+V49</f>
        <v>0</v>
      </c>
    </row>
    <row r="50" spans="1:23" ht="12.75" customHeight="1">
      <c r="A50" s="132" t="s">
        <v>281</v>
      </c>
      <c r="B50" s="132" t="s">
        <v>287</v>
      </c>
      <c r="C50" s="132" t="s">
        <v>115</v>
      </c>
      <c r="D50" s="132" t="s">
        <v>217</v>
      </c>
      <c r="E50" s="132" t="s">
        <v>283</v>
      </c>
      <c r="F50" s="154" t="s">
        <v>288</v>
      </c>
      <c r="G50" s="134">
        <v>0</v>
      </c>
      <c r="H50" s="110"/>
      <c r="I50" s="110"/>
      <c r="J50" s="110"/>
      <c r="K50" s="174"/>
      <c r="L50" s="174"/>
      <c r="M50" s="174"/>
      <c r="N50" s="174"/>
      <c r="O50" s="174"/>
      <c r="P50" s="174"/>
      <c r="Q50" s="174"/>
      <c r="R50" s="174"/>
      <c r="S50" s="174"/>
      <c r="T50" s="174">
        <v>583.2</v>
      </c>
      <c r="U50" s="174">
        <f>S50+T50</f>
        <v>583.2</v>
      </c>
      <c r="V50" s="174"/>
      <c r="W50" s="174">
        <f>U50+V50</f>
        <v>583.2</v>
      </c>
    </row>
    <row r="51" spans="1:23" s="152" customFormat="1" ht="14.25" customHeight="1">
      <c r="A51" s="277" t="s">
        <v>289</v>
      </c>
      <c r="B51" s="278"/>
      <c r="C51" s="278"/>
      <c r="D51" s="278"/>
      <c r="E51" s="278"/>
      <c r="F51" s="279"/>
      <c r="G51" s="162">
        <f aca="true" t="shared" si="20" ref="G51:M51">G12+G17+G21+G30+G35+G47+G39+G26</f>
        <v>9637.5</v>
      </c>
      <c r="H51" s="162">
        <f t="shared" si="20"/>
        <v>0</v>
      </c>
      <c r="I51" s="162">
        <f t="shared" si="20"/>
        <v>9637.5</v>
      </c>
      <c r="J51" s="162">
        <f t="shared" si="20"/>
        <v>0</v>
      </c>
      <c r="K51" s="191">
        <f t="shared" si="20"/>
        <v>9637.5</v>
      </c>
      <c r="L51" s="191">
        <f t="shared" si="20"/>
        <v>0</v>
      </c>
      <c r="M51" s="191">
        <f t="shared" si="20"/>
        <v>9637.5</v>
      </c>
      <c r="N51" s="191">
        <f>N12+N17+N21+N30+N35+N47+N39+N26</f>
        <v>2600</v>
      </c>
      <c r="O51" s="191">
        <f aca="true" t="shared" si="21" ref="O51:U51">O12+O17+O21+O30+O35+O47+O39+O26+O42</f>
        <v>12237.5</v>
      </c>
      <c r="P51" s="191">
        <f t="shared" si="21"/>
        <v>1160</v>
      </c>
      <c r="Q51" s="191">
        <f t="shared" si="21"/>
        <v>13397.5</v>
      </c>
      <c r="R51" s="191">
        <f t="shared" si="21"/>
        <v>0</v>
      </c>
      <c r="S51" s="191">
        <f t="shared" si="21"/>
        <v>13397.5</v>
      </c>
      <c r="T51" s="191">
        <f t="shared" si="21"/>
        <v>4603.5</v>
      </c>
      <c r="U51" s="191">
        <f t="shared" si="21"/>
        <v>18001</v>
      </c>
      <c r="V51" s="191">
        <f>V12+V17+V21+V30+V35+V47+V39+V26+V42</f>
        <v>298.8</v>
      </c>
      <c r="W51" s="191">
        <f>W12+W17+W21+W30+W35+W47+W39+W26+W42</f>
        <v>18299.8</v>
      </c>
    </row>
    <row r="52" spans="1:23" s="152" customFormat="1" ht="12.75">
      <c r="A52" s="275" t="s">
        <v>290</v>
      </c>
      <c r="B52" s="275"/>
      <c r="C52" s="275"/>
      <c r="D52" s="275"/>
      <c r="E52" s="275"/>
      <c r="F52" s="275"/>
      <c r="G52" s="163">
        <f aca="true" t="shared" si="22" ref="G52:M52">G53+G59+G69+G77+G84</f>
        <v>2337.2</v>
      </c>
      <c r="H52" s="163">
        <f t="shared" si="22"/>
        <v>18367.856</v>
      </c>
      <c r="I52" s="163">
        <f t="shared" si="22"/>
        <v>20705.055999999997</v>
      </c>
      <c r="J52" s="163">
        <f t="shared" si="22"/>
        <v>778.972</v>
      </c>
      <c r="K52" s="192">
        <f t="shared" si="22"/>
        <v>21484.028</v>
      </c>
      <c r="L52" s="192">
        <f t="shared" si="22"/>
        <v>222.5</v>
      </c>
      <c r="M52" s="192">
        <f t="shared" si="22"/>
        <v>21706.528</v>
      </c>
      <c r="N52" s="192">
        <f aca="true" t="shared" si="23" ref="N52:S52">N53+N59+N69+N77+N84</f>
        <v>0</v>
      </c>
      <c r="O52" s="192">
        <f t="shared" si="23"/>
        <v>21706.528</v>
      </c>
      <c r="P52" s="192">
        <f t="shared" si="23"/>
        <v>10063.759</v>
      </c>
      <c r="Q52" s="192">
        <f>Q53+Q59+Q69+Q77+Q84</f>
        <v>31770.286999999997</v>
      </c>
      <c r="R52" s="192">
        <f t="shared" si="23"/>
        <v>41872.17</v>
      </c>
      <c r="S52" s="192">
        <f t="shared" si="23"/>
        <v>73642.457</v>
      </c>
      <c r="T52" s="192">
        <f>T53+T59+T69+T77+T84</f>
        <v>-1528.3157</v>
      </c>
      <c r="U52" s="192">
        <f>U53+U59+U69+U77+U84</f>
        <v>72114.14129999999</v>
      </c>
      <c r="V52" s="192">
        <f>V53+V59+V69+V77+V84</f>
        <v>-9845.017</v>
      </c>
      <c r="W52" s="192">
        <f>W53+W59+W69+W77+W84</f>
        <v>62269.124299999996</v>
      </c>
    </row>
    <row r="53" spans="1:23" s="152" customFormat="1" ht="25.5">
      <c r="A53" s="164" t="s">
        <v>291</v>
      </c>
      <c r="B53" s="164" t="s">
        <v>267</v>
      </c>
      <c r="C53" s="164" t="s">
        <v>216</v>
      </c>
      <c r="D53" s="164" t="s">
        <v>217</v>
      </c>
      <c r="E53" s="164" t="s">
        <v>218</v>
      </c>
      <c r="F53" s="165" t="s">
        <v>292</v>
      </c>
      <c r="G53" s="163">
        <f>G54+G55</f>
        <v>1807</v>
      </c>
      <c r="H53" s="163">
        <f>H54+H55</f>
        <v>0</v>
      </c>
      <c r="I53" s="163">
        <f>I54+I55</f>
        <v>1807</v>
      </c>
      <c r="J53" s="163">
        <f>J54+J55</f>
        <v>0</v>
      </c>
      <c r="K53" s="192">
        <f>K54+K55</f>
        <v>1807</v>
      </c>
      <c r="L53" s="192">
        <f>L54+L55+L56+L79</f>
        <v>228</v>
      </c>
      <c r="M53" s="192">
        <f aca="true" t="shared" si="24" ref="M53:S53">M54+M55+M56</f>
        <v>2007</v>
      </c>
      <c r="N53" s="192">
        <f t="shared" si="24"/>
        <v>0</v>
      </c>
      <c r="O53" s="192">
        <f t="shared" si="24"/>
        <v>2007</v>
      </c>
      <c r="P53" s="192">
        <f t="shared" si="24"/>
        <v>0</v>
      </c>
      <c r="Q53" s="192">
        <f t="shared" si="24"/>
        <v>2007</v>
      </c>
      <c r="R53" s="192">
        <f t="shared" si="24"/>
        <v>0</v>
      </c>
      <c r="S53" s="192">
        <f t="shared" si="24"/>
        <v>2007</v>
      </c>
      <c r="T53" s="192">
        <f>T54+T55+T56</f>
        <v>0</v>
      </c>
      <c r="U53" s="192">
        <f>U54+U55+U56</f>
        <v>2007</v>
      </c>
      <c r="V53" s="192">
        <f>V54+V55+V56</f>
        <v>0</v>
      </c>
      <c r="W53" s="192">
        <f>W54+W55+W56</f>
        <v>2007</v>
      </c>
    </row>
    <row r="54" spans="1:23" ht="25.5">
      <c r="A54" s="132" t="s">
        <v>291</v>
      </c>
      <c r="B54" s="132" t="s">
        <v>293</v>
      </c>
      <c r="C54" s="132" t="s">
        <v>115</v>
      </c>
      <c r="D54" s="132" t="s">
        <v>217</v>
      </c>
      <c r="E54" s="132" t="s">
        <v>294</v>
      </c>
      <c r="F54" s="166" t="s">
        <v>295</v>
      </c>
      <c r="G54" s="167">
        <v>1443</v>
      </c>
      <c r="H54" s="110"/>
      <c r="I54" s="134">
        <f>G54+H54</f>
        <v>1443</v>
      </c>
      <c r="J54" s="134"/>
      <c r="K54" s="174">
        <f>I54+J54</f>
        <v>1443</v>
      </c>
      <c r="L54" s="174"/>
      <c r="M54" s="174">
        <f>K54+L54</f>
        <v>1443</v>
      </c>
      <c r="N54" s="174"/>
      <c r="O54" s="174">
        <f>M54+N54</f>
        <v>1443</v>
      </c>
      <c r="P54" s="174"/>
      <c r="Q54" s="174">
        <f>O54+P54</f>
        <v>1443</v>
      </c>
      <c r="R54" s="174"/>
      <c r="S54" s="174">
        <f>Q54+R54</f>
        <v>1443</v>
      </c>
      <c r="T54" s="174"/>
      <c r="U54" s="174">
        <f>S54+T54</f>
        <v>1443</v>
      </c>
      <c r="V54" s="174"/>
      <c r="W54" s="174">
        <f>U54+V54</f>
        <v>1443</v>
      </c>
    </row>
    <row r="55" spans="1:23" ht="25.5">
      <c r="A55" s="132" t="s">
        <v>291</v>
      </c>
      <c r="B55" s="132" t="s">
        <v>296</v>
      </c>
      <c r="C55" s="132" t="s">
        <v>115</v>
      </c>
      <c r="D55" s="132" t="s">
        <v>217</v>
      </c>
      <c r="E55" s="132" t="s">
        <v>294</v>
      </c>
      <c r="F55" s="166" t="s">
        <v>297</v>
      </c>
      <c r="G55" s="167">
        <v>364</v>
      </c>
      <c r="H55" s="110"/>
      <c r="I55" s="134">
        <f>G55+H55</f>
        <v>364</v>
      </c>
      <c r="J55" s="134"/>
      <c r="K55" s="174">
        <f>I55+J55</f>
        <v>364</v>
      </c>
      <c r="L55" s="174"/>
      <c r="M55" s="174">
        <f>K55+L55</f>
        <v>364</v>
      </c>
      <c r="N55" s="174"/>
      <c r="O55" s="174">
        <f>M55+N55</f>
        <v>364</v>
      </c>
      <c r="P55" s="174"/>
      <c r="Q55" s="174">
        <f>O55+P55</f>
        <v>364</v>
      </c>
      <c r="R55" s="174"/>
      <c r="S55" s="174">
        <f>Q55+R55</f>
        <v>364</v>
      </c>
      <c r="T55" s="174"/>
      <c r="U55" s="174">
        <f>S55+T55</f>
        <v>364</v>
      </c>
      <c r="V55" s="174"/>
      <c r="W55" s="174">
        <f>U55+V55</f>
        <v>364</v>
      </c>
    </row>
    <row r="56" spans="1:23" s="114" customFormat="1" ht="38.25">
      <c r="A56" s="13" t="s">
        <v>291</v>
      </c>
      <c r="B56" s="13" t="s">
        <v>329</v>
      </c>
      <c r="C56" s="13" t="s">
        <v>115</v>
      </c>
      <c r="D56" s="13" t="s">
        <v>217</v>
      </c>
      <c r="E56" s="13" t="s">
        <v>294</v>
      </c>
      <c r="F56" s="175" t="s">
        <v>330</v>
      </c>
      <c r="G56" s="167"/>
      <c r="H56" s="202"/>
      <c r="I56" s="144"/>
      <c r="J56" s="144"/>
      <c r="K56" s="200"/>
      <c r="L56" s="200">
        <v>200</v>
      </c>
      <c r="M56" s="200">
        <f>K56+L56</f>
        <v>200</v>
      </c>
      <c r="N56" s="200"/>
      <c r="O56" s="200">
        <f>M56+N56</f>
        <v>200</v>
      </c>
      <c r="P56" s="200"/>
      <c r="Q56" s="200">
        <f>O56+P56</f>
        <v>200</v>
      </c>
      <c r="R56" s="200"/>
      <c r="S56" s="200">
        <f>Q56+R56</f>
        <v>200</v>
      </c>
      <c r="T56" s="200"/>
      <c r="U56" s="200">
        <f>S56+T56</f>
        <v>200</v>
      </c>
      <c r="V56" s="200"/>
      <c r="W56" s="200">
        <f>U56+V56</f>
        <v>200</v>
      </c>
    </row>
    <row r="57" spans="1:23" s="152" customFormat="1" ht="51" hidden="1">
      <c r="A57" s="125" t="s">
        <v>291</v>
      </c>
      <c r="B57" s="125" t="s">
        <v>298</v>
      </c>
      <c r="C57" s="125" t="s">
        <v>115</v>
      </c>
      <c r="D57" s="125" t="s">
        <v>217</v>
      </c>
      <c r="E57" s="125" t="s">
        <v>294</v>
      </c>
      <c r="F57" s="168" t="s">
        <v>299</v>
      </c>
      <c r="G57" s="163">
        <v>0</v>
      </c>
      <c r="H57" s="145"/>
      <c r="I57" s="145"/>
      <c r="J57" s="145"/>
      <c r="K57" s="173"/>
      <c r="L57" s="173"/>
      <c r="M57" s="173"/>
      <c r="N57" s="173"/>
      <c r="O57" s="173"/>
      <c r="P57" s="173"/>
      <c r="Q57" s="173"/>
      <c r="R57" s="173"/>
      <c r="S57" s="173"/>
      <c r="T57" s="173"/>
      <c r="U57" s="173"/>
      <c r="V57" s="173"/>
      <c r="W57" s="173"/>
    </row>
    <row r="58" spans="1:23" s="152" customFormat="1" ht="25.5" hidden="1">
      <c r="A58" s="125" t="s">
        <v>291</v>
      </c>
      <c r="B58" s="125" t="s">
        <v>300</v>
      </c>
      <c r="C58" s="125" t="s">
        <v>115</v>
      </c>
      <c r="D58" s="125" t="s">
        <v>217</v>
      </c>
      <c r="E58" s="125" t="s">
        <v>294</v>
      </c>
      <c r="F58" s="168" t="s">
        <v>301</v>
      </c>
      <c r="G58" s="163">
        <v>0</v>
      </c>
      <c r="H58" s="145"/>
      <c r="I58" s="145"/>
      <c r="J58" s="145"/>
      <c r="K58" s="173"/>
      <c r="L58" s="173"/>
      <c r="M58" s="173"/>
      <c r="N58" s="173"/>
      <c r="O58" s="173"/>
      <c r="P58" s="173"/>
      <c r="Q58" s="173"/>
      <c r="R58" s="173"/>
      <c r="S58" s="173"/>
      <c r="T58" s="173"/>
      <c r="U58" s="173"/>
      <c r="V58" s="173"/>
      <c r="W58" s="173"/>
    </row>
    <row r="59" spans="1:23" s="152" customFormat="1" ht="25.5">
      <c r="A59" s="125" t="s">
        <v>291</v>
      </c>
      <c r="B59" s="125" t="s">
        <v>220</v>
      </c>
      <c r="C59" s="125" t="s">
        <v>216</v>
      </c>
      <c r="D59" s="125" t="s">
        <v>302</v>
      </c>
      <c r="E59" s="125" t="s">
        <v>294</v>
      </c>
      <c r="F59" s="168" t="s">
        <v>303</v>
      </c>
      <c r="G59" s="163">
        <f aca="true" t="shared" si="25" ref="G59:M59">G64+G60+G62</f>
        <v>230.6</v>
      </c>
      <c r="H59" s="163">
        <f t="shared" si="25"/>
        <v>18359.356</v>
      </c>
      <c r="I59" s="163">
        <f t="shared" si="25"/>
        <v>18589.956</v>
      </c>
      <c r="J59" s="163">
        <f t="shared" si="25"/>
        <v>778.972</v>
      </c>
      <c r="K59" s="192">
        <f t="shared" si="25"/>
        <v>19368.928</v>
      </c>
      <c r="L59" s="192">
        <f t="shared" si="25"/>
        <v>0</v>
      </c>
      <c r="M59" s="192">
        <f t="shared" si="25"/>
        <v>19368.928</v>
      </c>
      <c r="N59" s="192">
        <f aca="true" t="shared" si="26" ref="N59:S59">N64+N60+N62</f>
        <v>0</v>
      </c>
      <c r="O59" s="192">
        <f t="shared" si="26"/>
        <v>19368.928</v>
      </c>
      <c r="P59" s="192">
        <f t="shared" si="26"/>
        <v>0</v>
      </c>
      <c r="Q59" s="192">
        <f t="shared" si="26"/>
        <v>19368.928</v>
      </c>
      <c r="R59" s="192">
        <f t="shared" si="26"/>
        <v>0</v>
      </c>
      <c r="S59" s="192">
        <f t="shared" si="26"/>
        <v>19368.928</v>
      </c>
      <c r="T59" s="192">
        <f>T64+T60+T62</f>
        <v>12.5</v>
      </c>
      <c r="U59" s="192">
        <f>U64+U60+U62</f>
        <v>19381.428</v>
      </c>
      <c r="V59" s="192">
        <f>V64+V60+V62</f>
        <v>0</v>
      </c>
      <c r="W59" s="192">
        <f>W64+W60+W62</f>
        <v>19381.428</v>
      </c>
    </row>
    <row r="60" spans="1:23" s="128" customFormat="1" ht="51">
      <c r="A60" s="129" t="s">
        <v>291</v>
      </c>
      <c r="B60" s="129" t="s">
        <v>298</v>
      </c>
      <c r="C60" s="129" t="s">
        <v>216</v>
      </c>
      <c r="D60" s="129" t="s">
        <v>217</v>
      </c>
      <c r="E60" s="129" t="s">
        <v>294</v>
      </c>
      <c r="F60" s="169" t="s">
        <v>304</v>
      </c>
      <c r="G60" s="170">
        <f aca="true" t="shared" si="27" ref="G60:W60">G61</f>
        <v>0</v>
      </c>
      <c r="H60" s="170">
        <f t="shared" si="27"/>
        <v>3543.832</v>
      </c>
      <c r="I60" s="170">
        <f t="shared" si="27"/>
        <v>3543.832</v>
      </c>
      <c r="J60" s="170">
        <f t="shared" si="27"/>
        <v>-142.094</v>
      </c>
      <c r="K60" s="193">
        <f t="shared" si="27"/>
        <v>3401.738</v>
      </c>
      <c r="L60" s="193">
        <f t="shared" si="27"/>
        <v>0</v>
      </c>
      <c r="M60" s="193">
        <f t="shared" si="27"/>
        <v>3401.738</v>
      </c>
      <c r="N60" s="193">
        <f t="shared" si="27"/>
        <v>0</v>
      </c>
      <c r="O60" s="193">
        <f t="shared" si="27"/>
        <v>3401.738</v>
      </c>
      <c r="P60" s="193">
        <f t="shared" si="27"/>
        <v>0</v>
      </c>
      <c r="Q60" s="193">
        <f t="shared" si="27"/>
        <v>3401.738</v>
      </c>
      <c r="R60" s="193">
        <f t="shared" si="27"/>
        <v>0</v>
      </c>
      <c r="S60" s="193">
        <f t="shared" si="27"/>
        <v>3401.738</v>
      </c>
      <c r="T60" s="193">
        <f t="shared" si="27"/>
        <v>0</v>
      </c>
      <c r="U60" s="193">
        <f t="shared" si="27"/>
        <v>3401.738</v>
      </c>
      <c r="V60" s="193">
        <f t="shared" si="27"/>
        <v>0</v>
      </c>
      <c r="W60" s="193">
        <f t="shared" si="27"/>
        <v>3401.738</v>
      </c>
    </row>
    <row r="61" spans="1:23" s="152" customFormat="1" ht="51">
      <c r="A61" s="132" t="s">
        <v>291</v>
      </c>
      <c r="B61" s="132" t="s">
        <v>298</v>
      </c>
      <c r="C61" s="132" t="s">
        <v>115</v>
      </c>
      <c r="D61" s="132" t="s">
        <v>217</v>
      </c>
      <c r="E61" s="132" t="s">
        <v>294</v>
      </c>
      <c r="F61" s="166" t="s">
        <v>299</v>
      </c>
      <c r="G61" s="167"/>
      <c r="H61" s="167">
        <f>3543.832</f>
        <v>3543.832</v>
      </c>
      <c r="I61" s="167">
        <f>G61+H61</f>
        <v>3543.832</v>
      </c>
      <c r="J61" s="167">
        <v>-142.094</v>
      </c>
      <c r="K61" s="172">
        <f>I61+J61</f>
        <v>3401.738</v>
      </c>
      <c r="L61" s="172"/>
      <c r="M61" s="172">
        <f>K61+L61</f>
        <v>3401.738</v>
      </c>
      <c r="N61" s="172"/>
      <c r="O61" s="172">
        <f>M61+N61</f>
        <v>3401.738</v>
      </c>
      <c r="P61" s="172"/>
      <c r="Q61" s="172">
        <f>O61+P61</f>
        <v>3401.738</v>
      </c>
      <c r="R61" s="172"/>
      <c r="S61" s="172">
        <f>Q61+R61</f>
        <v>3401.738</v>
      </c>
      <c r="T61" s="172"/>
      <c r="U61" s="172">
        <f>S61+T61</f>
        <v>3401.738</v>
      </c>
      <c r="V61" s="172"/>
      <c r="W61" s="172">
        <f>U61+V61</f>
        <v>3401.738</v>
      </c>
    </row>
    <row r="62" spans="1:23" s="128" customFormat="1" ht="25.5">
      <c r="A62" s="129" t="s">
        <v>291</v>
      </c>
      <c r="B62" s="129" t="s">
        <v>300</v>
      </c>
      <c r="C62" s="129" t="s">
        <v>216</v>
      </c>
      <c r="D62" s="129" t="s">
        <v>217</v>
      </c>
      <c r="E62" s="129" t="s">
        <v>294</v>
      </c>
      <c r="F62" s="169" t="s">
        <v>305</v>
      </c>
      <c r="G62" s="170">
        <f aca="true" t="shared" si="28" ref="G62:W62">G63</f>
        <v>0</v>
      </c>
      <c r="H62" s="170">
        <f t="shared" si="28"/>
        <v>14400</v>
      </c>
      <c r="I62" s="170">
        <f t="shared" si="28"/>
        <v>14400</v>
      </c>
      <c r="J62" s="170">
        <f t="shared" si="28"/>
        <v>0</v>
      </c>
      <c r="K62" s="193">
        <f t="shared" si="28"/>
        <v>14400</v>
      </c>
      <c r="L62" s="193">
        <f t="shared" si="28"/>
        <v>0</v>
      </c>
      <c r="M62" s="193">
        <f t="shared" si="28"/>
        <v>14400</v>
      </c>
      <c r="N62" s="193">
        <f t="shared" si="28"/>
        <v>0</v>
      </c>
      <c r="O62" s="193">
        <f t="shared" si="28"/>
        <v>14400</v>
      </c>
      <c r="P62" s="193">
        <f t="shared" si="28"/>
        <v>0</v>
      </c>
      <c r="Q62" s="193">
        <f t="shared" si="28"/>
        <v>14400</v>
      </c>
      <c r="R62" s="193">
        <f t="shared" si="28"/>
        <v>0</v>
      </c>
      <c r="S62" s="193">
        <f t="shared" si="28"/>
        <v>14400</v>
      </c>
      <c r="T62" s="193">
        <f t="shared" si="28"/>
        <v>0</v>
      </c>
      <c r="U62" s="193">
        <f t="shared" si="28"/>
        <v>14400</v>
      </c>
      <c r="V62" s="193">
        <f t="shared" si="28"/>
        <v>0</v>
      </c>
      <c r="W62" s="193">
        <f t="shared" si="28"/>
        <v>14400</v>
      </c>
    </row>
    <row r="63" spans="1:23" ht="25.5">
      <c r="A63" s="132" t="s">
        <v>291</v>
      </c>
      <c r="B63" s="132" t="s">
        <v>300</v>
      </c>
      <c r="C63" s="132" t="s">
        <v>115</v>
      </c>
      <c r="D63" s="132" t="s">
        <v>217</v>
      </c>
      <c r="E63" s="132" t="s">
        <v>294</v>
      </c>
      <c r="F63" s="171" t="s">
        <v>301</v>
      </c>
      <c r="G63" s="167"/>
      <c r="H63" s="167">
        <v>14400</v>
      </c>
      <c r="I63" s="167">
        <f>G63+H63</f>
        <v>14400</v>
      </c>
      <c r="J63" s="167"/>
      <c r="K63" s="172">
        <f>I63+J63</f>
        <v>14400</v>
      </c>
      <c r="L63" s="172"/>
      <c r="M63" s="172">
        <f>K63+L63</f>
        <v>14400</v>
      </c>
      <c r="N63" s="172"/>
      <c r="O63" s="172">
        <f>M63+N63</f>
        <v>14400</v>
      </c>
      <c r="P63" s="172"/>
      <c r="Q63" s="172">
        <f>O63+P63</f>
        <v>14400</v>
      </c>
      <c r="R63" s="172"/>
      <c r="S63" s="172">
        <f>Q63+R63</f>
        <v>14400</v>
      </c>
      <c r="T63" s="172"/>
      <c r="U63" s="172">
        <f>S63+T63</f>
        <v>14400</v>
      </c>
      <c r="V63" s="172"/>
      <c r="W63" s="172">
        <f>U63+V63</f>
        <v>14400</v>
      </c>
    </row>
    <row r="64" spans="1:23" s="136" customFormat="1" ht="13.5">
      <c r="A64" s="129" t="s">
        <v>291</v>
      </c>
      <c r="B64" s="129" t="s">
        <v>306</v>
      </c>
      <c r="C64" s="129" t="s">
        <v>216</v>
      </c>
      <c r="D64" s="129" t="s">
        <v>217</v>
      </c>
      <c r="E64" s="129" t="s">
        <v>294</v>
      </c>
      <c r="F64" s="169" t="s">
        <v>307</v>
      </c>
      <c r="G64" s="170">
        <f aca="true" t="shared" si="29" ref="G64:W64">G65</f>
        <v>230.6</v>
      </c>
      <c r="H64" s="170">
        <f t="shared" si="29"/>
        <v>415.524</v>
      </c>
      <c r="I64" s="170">
        <f t="shared" si="29"/>
        <v>646.124</v>
      </c>
      <c r="J64" s="170">
        <f t="shared" si="29"/>
        <v>921.066</v>
      </c>
      <c r="K64" s="193">
        <f t="shared" si="29"/>
        <v>1567.19</v>
      </c>
      <c r="L64" s="193">
        <f t="shared" si="29"/>
        <v>0</v>
      </c>
      <c r="M64" s="193">
        <f t="shared" si="29"/>
        <v>1567.19</v>
      </c>
      <c r="N64" s="193">
        <f t="shared" si="29"/>
        <v>0</v>
      </c>
      <c r="O64" s="193">
        <f t="shared" si="29"/>
        <v>1567.19</v>
      </c>
      <c r="P64" s="193">
        <f t="shared" si="29"/>
        <v>0</v>
      </c>
      <c r="Q64" s="193">
        <f t="shared" si="29"/>
        <v>1567.19</v>
      </c>
      <c r="R64" s="193">
        <f t="shared" si="29"/>
        <v>0</v>
      </c>
      <c r="S64" s="193">
        <f t="shared" si="29"/>
        <v>1567.19</v>
      </c>
      <c r="T64" s="193">
        <f t="shared" si="29"/>
        <v>12.5</v>
      </c>
      <c r="U64" s="193">
        <f t="shared" si="29"/>
        <v>1579.69</v>
      </c>
      <c r="V64" s="193">
        <f t="shared" si="29"/>
        <v>0</v>
      </c>
      <c r="W64" s="193">
        <f t="shared" si="29"/>
        <v>1579.69</v>
      </c>
    </row>
    <row r="65" spans="1:23" s="152" customFormat="1" ht="12.75">
      <c r="A65" s="132" t="s">
        <v>291</v>
      </c>
      <c r="B65" s="132" t="s">
        <v>306</v>
      </c>
      <c r="C65" s="132" t="s">
        <v>115</v>
      </c>
      <c r="D65" s="132" t="s">
        <v>217</v>
      </c>
      <c r="E65" s="132" t="s">
        <v>294</v>
      </c>
      <c r="F65" s="166" t="s">
        <v>308</v>
      </c>
      <c r="G65" s="167">
        <f aca="true" t="shared" si="30" ref="G65:M65">G66+G67</f>
        <v>230.6</v>
      </c>
      <c r="H65" s="167">
        <f t="shared" si="30"/>
        <v>415.524</v>
      </c>
      <c r="I65" s="167">
        <f t="shared" si="30"/>
        <v>646.124</v>
      </c>
      <c r="J65" s="167">
        <f t="shared" si="30"/>
        <v>921.066</v>
      </c>
      <c r="K65" s="172">
        <f t="shared" si="30"/>
        <v>1567.19</v>
      </c>
      <c r="L65" s="172">
        <f t="shared" si="30"/>
        <v>0</v>
      </c>
      <c r="M65" s="172">
        <f t="shared" si="30"/>
        <v>1567.19</v>
      </c>
      <c r="N65" s="172">
        <f>N66+N67</f>
        <v>0</v>
      </c>
      <c r="O65" s="172">
        <f aca="true" t="shared" si="31" ref="O65:U65">O66+O67+O68</f>
        <v>1567.19</v>
      </c>
      <c r="P65" s="172">
        <f t="shared" si="31"/>
        <v>0</v>
      </c>
      <c r="Q65" s="172">
        <f t="shared" si="31"/>
        <v>1567.19</v>
      </c>
      <c r="R65" s="172">
        <f t="shared" si="31"/>
        <v>0</v>
      </c>
      <c r="S65" s="172">
        <f t="shared" si="31"/>
        <v>1567.19</v>
      </c>
      <c r="T65" s="172">
        <f t="shared" si="31"/>
        <v>12.5</v>
      </c>
      <c r="U65" s="172">
        <f t="shared" si="31"/>
        <v>1579.69</v>
      </c>
      <c r="V65" s="172">
        <f>V66+V67+V68</f>
        <v>0</v>
      </c>
      <c r="W65" s="172">
        <f>W66+W67+W68</f>
        <v>1579.69</v>
      </c>
    </row>
    <row r="66" spans="1:23" s="152" customFormat="1" ht="80.25" customHeight="1">
      <c r="A66" s="132" t="s">
        <v>291</v>
      </c>
      <c r="B66" s="132" t="s">
        <v>306</v>
      </c>
      <c r="C66" s="132" t="s">
        <v>115</v>
      </c>
      <c r="D66" s="132" t="s">
        <v>217</v>
      </c>
      <c r="E66" s="132" t="s">
        <v>294</v>
      </c>
      <c r="F66" s="166" t="s">
        <v>309</v>
      </c>
      <c r="G66" s="172">
        <v>230.6</v>
      </c>
      <c r="H66" s="173"/>
      <c r="I66" s="174">
        <f>G66+H66</f>
        <v>230.6</v>
      </c>
      <c r="J66" s="174"/>
      <c r="K66" s="174">
        <f>I66+J66</f>
        <v>230.6</v>
      </c>
      <c r="L66" s="174"/>
      <c r="M66" s="174">
        <f>K66+L66</f>
        <v>230.6</v>
      </c>
      <c r="N66" s="174"/>
      <c r="O66" s="174">
        <f>M66+N66</f>
        <v>230.6</v>
      </c>
      <c r="P66" s="174"/>
      <c r="Q66" s="174">
        <f>O66+P66</f>
        <v>230.6</v>
      </c>
      <c r="R66" s="174"/>
      <c r="S66" s="174">
        <f>Q66+R66</f>
        <v>230.6</v>
      </c>
      <c r="T66" s="174"/>
      <c r="U66" s="174">
        <f>S66+T66</f>
        <v>230.6</v>
      </c>
      <c r="V66" s="174"/>
      <c r="W66" s="174">
        <f>U66+V66</f>
        <v>230.6</v>
      </c>
    </row>
    <row r="67" spans="1:23" s="152" customFormat="1" ht="38.25">
      <c r="A67" s="13" t="s">
        <v>291</v>
      </c>
      <c r="B67" s="13" t="s">
        <v>306</v>
      </c>
      <c r="C67" s="13" t="s">
        <v>115</v>
      </c>
      <c r="D67" s="13" t="s">
        <v>217</v>
      </c>
      <c r="E67" s="13" t="s">
        <v>294</v>
      </c>
      <c r="F67" s="175" t="s">
        <v>310</v>
      </c>
      <c r="G67" s="167"/>
      <c r="H67" s="110">
        <v>415.524</v>
      </c>
      <c r="I67" s="174">
        <f>G67+H67</f>
        <v>415.524</v>
      </c>
      <c r="J67" s="174">
        <f>921.066</f>
        <v>921.066</v>
      </c>
      <c r="K67" s="174">
        <f>I67+J67</f>
        <v>1336.5900000000001</v>
      </c>
      <c r="L67" s="174"/>
      <c r="M67" s="174">
        <f>K67+L67</f>
        <v>1336.5900000000001</v>
      </c>
      <c r="N67" s="174"/>
      <c r="O67" s="174">
        <f>M67+N67</f>
        <v>1336.5900000000001</v>
      </c>
      <c r="P67" s="174"/>
      <c r="Q67" s="174">
        <f>O67+P67</f>
        <v>1336.5900000000001</v>
      </c>
      <c r="R67" s="174"/>
      <c r="S67" s="174">
        <f>Q67+R67</f>
        <v>1336.5900000000001</v>
      </c>
      <c r="T67" s="174"/>
      <c r="U67" s="174">
        <f>S67+T67</f>
        <v>1336.5900000000001</v>
      </c>
      <c r="V67" s="174"/>
      <c r="W67" s="174">
        <f>U67+V67</f>
        <v>1336.5900000000001</v>
      </c>
    </row>
    <row r="68" spans="1:23" s="152" customFormat="1" ht="51">
      <c r="A68" s="13" t="s">
        <v>291</v>
      </c>
      <c r="B68" s="13" t="s">
        <v>306</v>
      </c>
      <c r="C68" s="13" t="s">
        <v>115</v>
      </c>
      <c r="D68" s="13" t="s">
        <v>217</v>
      </c>
      <c r="E68" s="13" t="s">
        <v>294</v>
      </c>
      <c r="F68" s="175" t="s">
        <v>374</v>
      </c>
      <c r="G68" s="167"/>
      <c r="H68" s="110"/>
      <c r="I68" s="174"/>
      <c r="J68" s="174"/>
      <c r="K68" s="174"/>
      <c r="L68" s="174"/>
      <c r="M68" s="174"/>
      <c r="N68" s="174"/>
      <c r="O68" s="174">
        <v>0</v>
      </c>
      <c r="P68" s="174"/>
      <c r="Q68" s="174">
        <f>O68+P68</f>
        <v>0</v>
      </c>
      <c r="R68" s="174">
        <f>P68+Q68</f>
        <v>0</v>
      </c>
      <c r="S68" s="174">
        <f>Q68+R68</f>
        <v>0</v>
      </c>
      <c r="T68" s="174">
        <v>12.5</v>
      </c>
      <c r="U68" s="174">
        <f>S68+T68</f>
        <v>12.5</v>
      </c>
      <c r="V68" s="174"/>
      <c r="W68" s="174">
        <f>U68+V68</f>
        <v>12.5</v>
      </c>
    </row>
    <row r="69" spans="1:23" s="152" customFormat="1" ht="25.5">
      <c r="A69" s="125" t="s">
        <v>291</v>
      </c>
      <c r="B69" s="125" t="s">
        <v>231</v>
      </c>
      <c r="C69" s="125" t="s">
        <v>216</v>
      </c>
      <c r="D69" s="125" t="s">
        <v>217</v>
      </c>
      <c r="E69" s="125" t="s">
        <v>294</v>
      </c>
      <c r="F69" s="168" t="s">
        <v>311</v>
      </c>
      <c r="G69" s="163">
        <f aca="true" t="shared" si="32" ref="G69:M69">G70+G71+G72</f>
        <v>290.6</v>
      </c>
      <c r="H69" s="163">
        <f t="shared" si="32"/>
        <v>8.5</v>
      </c>
      <c r="I69" s="163">
        <f t="shared" si="32"/>
        <v>299.1</v>
      </c>
      <c r="J69" s="163">
        <f t="shared" si="32"/>
        <v>0</v>
      </c>
      <c r="K69" s="192">
        <f t="shared" si="32"/>
        <v>299.1</v>
      </c>
      <c r="L69" s="192">
        <f t="shared" si="32"/>
        <v>-5.5</v>
      </c>
      <c r="M69" s="192">
        <f t="shared" si="32"/>
        <v>293.6</v>
      </c>
      <c r="N69" s="192">
        <f>N70+N71+N72</f>
        <v>0</v>
      </c>
      <c r="O69" s="192">
        <f>O70+O71+O72</f>
        <v>293.6</v>
      </c>
      <c r="P69" s="192">
        <f>P70+P71+P72</f>
        <v>0</v>
      </c>
      <c r="Q69" s="192">
        <f aca="true" t="shared" si="33" ref="Q69:W69">Q70+Q71+Q72+Q75</f>
        <v>293.6</v>
      </c>
      <c r="R69" s="192">
        <f t="shared" si="33"/>
        <v>14.5</v>
      </c>
      <c r="S69" s="192">
        <f t="shared" si="33"/>
        <v>308.1</v>
      </c>
      <c r="T69" s="192">
        <f t="shared" si="33"/>
        <v>3</v>
      </c>
      <c r="U69" s="192">
        <f t="shared" si="33"/>
        <v>311.1</v>
      </c>
      <c r="V69" s="192">
        <f t="shared" si="33"/>
        <v>0</v>
      </c>
      <c r="W69" s="192">
        <f t="shared" si="33"/>
        <v>311.1</v>
      </c>
    </row>
    <row r="70" spans="1:23" s="128" customFormat="1" ht="26.25" customHeight="1">
      <c r="A70" s="129" t="s">
        <v>291</v>
      </c>
      <c r="B70" s="129" t="s">
        <v>312</v>
      </c>
      <c r="C70" s="129" t="s">
        <v>115</v>
      </c>
      <c r="D70" s="129" t="s">
        <v>217</v>
      </c>
      <c r="E70" s="129" t="s">
        <v>294</v>
      </c>
      <c r="F70" s="176" t="s">
        <v>313</v>
      </c>
      <c r="G70" s="131">
        <v>53.1</v>
      </c>
      <c r="H70" s="148"/>
      <c r="I70" s="134">
        <f>G70+H70</f>
        <v>53.1</v>
      </c>
      <c r="J70" s="134"/>
      <c r="K70" s="174">
        <f>I70+J70</f>
        <v>53.1</v>
      </c>
      <c r="L70" s="174"/>
      <c r="M70" s="174">
        <f>K70+L70</f>
        <v>53.1</v>
      </c>
      <c r="N70" s="174"/>
      <c r="O70" s="174">
        <f>M70+N70</f>
        <v>53.1</v>
      </c>
      <c r="P70" s="174"/>
      <c r="Q70" s="174">
        <f>O70+P70</f>
        <v>53.1</v>
      </c>
      <c r="R70" s="174"/>
      <c r="S70" s="174">
        <f>Q70+R70</f>
        <v>53.1</v>
      </c>
      <c r="T70" s="174">
        <v>3</v>
      </c>
      <c r="U70" s="174">
        <f>S70+T70</f>
        <v>56.1</v>
      </c>
      <c r="V70" s="174"/>
      <c r="W70" s="174">
        <f>U70+V70</f>
        <v>56.1</v>
      </c>
    </row>
    <row r="71" spans="1:23" s="128" customFormat="1" ht="38.25">
      <c r="A71" s="129" t="s">
        <v>291</v>
      </c>
      <c r="B71" s="129" t="s">
        <v>314</v>
      </c>
      <c r="C71" s="129" t="s">
        <v>115</v>
      </c>
      <c r="D71" s="129" t="s">
        <v>217</v>
      </c>
      <c r="E71" s="129" t="s">
        <v>294</v>
      </c>
      <c r="F71" s="176" t="s">
        <v>315</v>
      </c>
      <c r="G71" s="131">
        <v>221</v>
      </c>
      <c r="H71" s="148">
        <v>8.5</v>
      </c>
      <c r="I71" s="134">
        <f>G71+H71</f>
        <v>229.5</v>
      </c>
      <c r="J71" s="134"/>
      <c r="K71" s="174">
        <f>I71+J71</f>
        <v>229.5</v>
      </c>
      <c r="L71" s="174"/>
      <c r="M71" s="174">
        <f>K71+L71</f>
        <v>229.5</v>
      </c>
      <c r="N71" s="174"/>
      <c r="O71" s="174">
        <f>M71+N71</f>
        <v>229.5</v>
      </c>
      <c r="P71" s="174"/>
      <c r="Q71" s="174">
        <f>O71+P71</f>
        <v>229.5</v>
      </c>
      <c r="R71" s="174"/>
      <c r="S71" s="174">
        <f>Q71+R71</f>
        <v>229.5</v>
      </c>
      <c r="T71" s="174"/>
      <c r="U71" s="174">
        <f>S71+T71</f>
        <v>229.5</v>
      </c>
      <c r="V71" s="174"/>
      <c r="W71" s="174">
        <f>U71+V71</f>
        <v>229.5</v>
      </c>
    </row>
    <row r="72" spans="1:23" s="128" customFormat="1" ht="26.25" customHeight="1">
      <c r="A72" s="129" t="s">
        <v>291</v>
      </c>
      <c r="B72" s="129" t="s">
        <v>316</v>
      </c>
      <c r="C72" s="129" t="s">
        <v>216</v>
      </c>
      <c r="D72" s="129" t="s">
        <v>217</v>
      </c>
      <c r="E72" s="129" t="s">
        <v>294</v>
      </c>
      <c r="F72" s="177" t="s">
        <v>317</v>
      </c>
      <c r="G72" s="178">
        <f aca="true" t="shared" si="34" ref="G72:M72">G73+G74</f>
        <v>16.5</v>
      </c>
      <c r="H72" s="178">
        <f t="shared" si="34"/>
        <v>0</v>
      </c>
      <c r="I72" s="178">
        <f t="shared" si="34"/>
        <v>16.5</v>
      </c>
      <c r="J72" s="178">
        <f t="shared" si="34"/>
        <v>0</v>
      </c>
      <c r="K72" s="194">
        <f t="shared" si="34"/>
        <v>16.5</v>
      </c>
      <c r="L72" s="194">
        <f t="shared" si="34"/>
        <v>-5.5</v>
      </c>
      <c r="M72" s="194">
        <f t="shared" si="34"/>
        <v>11</v>
      </c>
      <c r="N72" s="194">
        <f aca="true" t="shared" si="35" ref="N72:S72">N73+N74</f>
        <v>0</v>
      </c>
      <c r="O72" s="194">
        <f t="shared" si="35"/>
        <v>11</v>
      </c>
      <c r="P72" s="194">
        <f t="shared" si="35"/>
        <v>0</v>
      </c>
      <c r="Q72" s="194">
        <f t="shared" si="35"/>
        <v>11</v>
      </c>
      <c r="R72" s="194">
        <f t="shared" si="35"/>
        <v>0</v>
      </c>
      <c r="S72" s="194">
        <f t="shared" si="35"/>
        <v>11</v>
      </c>
      <c r="T72" s="194">
        <f>T73+T74</f>
        <v>0</v>
      </c>
      <c r="U72" s="194">
        <f>U73+U74</f>
        <v>11</v>
      </c>
      <c r="V72" s="194">
        <f>V73+V74</f>
        <v>0</v>
      </c>
      <c r="W72" s="194">
        <f>W73+W74</f>
        <v>11</v>
      </c>
    </row>
    <row r="73" spans="1:23" ht="26.25" customHeight="1">
      <c r="A73" s="132" t="s">
        <v>291</v>
      </c>
      <c r="B73" s="132" t="s">
        <v>316</v>
      </c>
      <c r="C73" s="132" t="s">
        <v>115</v>
      </c>
      <c r="D73" s="132" t="s">
        <v>217</v>
      </c>
      <c r="E73" s="132" t="s">
        <v>294</v>
      </c>
      <c r="F73" s="179" t="s">
        <v>318</v>
      </c>
      <c r="G73" s="134">
        <v>1</v>
      </c>
      <c r="H73" s="110"/>
      <c r="I73" s="134">
        <f>G73+H73</f>
        <v>1</v>
      </c>
      <c r="J73" s="134"/>
      <c r="K73" s="174">
        <f>I73+J73</f>
        <v>1</v>
      </c>
      <c r="L73" s="174"/>
      <c r="M73" s="174">
        <f>K73+L73</f>
        <v>1</v>
      </c>
      <c r="N73" s="174"/>
      <c r="O73" s="174">
        <f>M73+N73</f>
        <v>1</v>
      </c>
      <c r="P73" s="174"/>
      <c r="Q73" s="174">
        <f>O73+P73</f>
        <v>1</v>
      </c>
      <c r="R73" s="174"/>
      <c r="S73" s="174">
        <f>Q73+R73</f>
        <v>1</v>
      </c>
      <c r="T73" s="174"/>
      <c r="U73" s="174">
        <f>S73+T73</f>
        <v>1</v>
      </c>
      <c r="V73" s="174"/>
      <c r="W73" s="174">
        <f>U73+V73</f>
        <v>1</v>
      </c>
    </row>
    <row r="74" spans="1:23" ht="53.25" customHeight="1">
      <c r="A74" s="132" t="s">
        <v>291</v>
      </c>
      <c r="B74" s="132" t="s">
        <v>316</v>
      </c>
      <c r="C74" s="132" t="s">
        <v>115</v>
      </c>
      <c r="D74" s="132" t="s">
        <v>217</v>
      </c>
      <c r="E74" s="132" t="s">
        <v>294</v>
      </c>
      <c r="F74" s="179" t="s">
        <v>319</v>
      </c>
      <c r="G74" s="134">
        <v>15.5</v>
      </c>
      <c r="H74" s="110"/>
      <c r="I74" s="134">
        <f>G74+H74</f>
        <v>15.5</v>
      </c>
      <c r="J74" s="134"/>
      <c r="K74" s="174">
        <f>I74+J74</f>
        <v>15.5</v>
      </c>
      <c r="L74" s="174">
        <v>-5.5</v>
      </c>
      <c r="M74" s="174">
        <f>K74+L74</f>
        <v>10</v>
      </c>
      <c r="N74" s="174"/>
      <c r="O74" s="174">
        <f>M74+N74</f>
        <v>10</v>
      </c>
      <c r="P74" s="174"/>
      <c r="Q74" s="174">
        <f>O74+P74</f>
        <v>10</v>
      </c>
      <c r="R74" s="174"/>
      <c r="S74" s="174">
        <f>Q74+R74</f>
        <v>10</v>
      </c>
      <c r="T74" s="174"/>
      <c r="U74" s="174">
        <f>S74+T74</f>
        <v>10</v>
      </c>
      <c r="V74" s="174"/>
      <c r="W74" s="174">
        <f>U74+V74</f>
        <v>10</v>
      </c>
    </row>
    <row r="75" spans="1:23" ht="14.25" customHeight="1">
      <c r="A75" s="150" t="s">
        <v>291</v>
      </c>
      <c r="B75" s="150" t="s">
        <v>357</v>
      </c>
      <c r="C75" s="150" t="s">
        <v>216</v>
      </c>
      <c r="D75" s="150" t="s">
        <v>217</v>
      </c>
      <c r="E75" s="150" t="s">
        <v>294</v>
      </c>
      <c r="F75" s="243" t="s">
        <v>358</v>
      </c>
      <c r="G75" s="134"/>
      <c r="H75" s="110"/>
      <c r="I75" s="134"/>
      <c r="J75" s="134"/>
      <c r="K75" s="174"/>
      <c r="L75" s="174"/>
      <c r="M75" s="174"/>
      <c r="N75" s="174"/>
      <c r="O75" s="174"/>
      <c r="P75" s="174"/>
      <c r="Q75" s="174">
        <f aca="true" t="shared" si="36" ref="Q75:W75">Q76</f>
        <v>0</v>
      </c>
      <c r="R75" s="174">
        <f t="shared" si="36"/>
        <v>14.5</v>
      </c>
      <c r="S75" s="174">
        <f t="shared" si="36"/>
        <v>14.5</v>
      </c>
      <c r="T75" s="174">
        <f t="shared" si="36"/>
        <v>0</v>
      </c>
      <c r="U75" s="174">
        <f t="shared" si="36"/>
        <v>14.5</v>
      </c>
      <c r="V75" s="174">
        <f t="shared" si="36"/>
        <v>0</v>
      </c>
      <c r="W75" s="174">
        <f t="shared" si="36"/>
        <v>14.5</v>
      </c>
    </row>
    <row r="76" spans="1:23" ht="27" customHeight="1">
      <c r="A76" s="13" t="s">
        <v>291</v>
      </c>
      <c r="B76" s="13" t="s">
        <v>357</v>
      </c>
      <c r="C76" s="13" t="s">
        <v>115</v>
      </c>
      <c r="D76" s="13" t="s">
        <v>217</v>
      </c>
      <c r="E76" s="13" t="s">
        <v>294</v>
      </c>
      <c r="F76" s="198" t="s">
        <v>356</v>
      </c>
      <c r="G76" s="134"/>
      <c r="H76" s="110"/>
      <c r="I76" s="134"/>
      <c r="J76" s="134"/>
      <c r="K76" s="174"/>
      <c r="L76" s="174"/>
      <c r="M76" s="174"/>
      <c r="N76" s="174"/>
      <c r="O76" s="174"/>
      <c r="P76" s="174"/>
      <c r="Q76" s="174"/>
      <c r="R76" s="174">
        <v>14.5</v>
      </c>
      <c r="S76" s="174">
        <f>Q76+R76</f>
        <v>14.5</v>
      </c>
      <c r="T76" s="174"/>
      <c r="U76" s="174">
        <f>S76+T76</f>
        <v>14.5</v>
      </c>
      <c r="V76" s="174"/>
      <c r="W76" s="174">
        <f>U76+V76</f>
        <v>14.5</v>
      </c>
    </row>
    <row r="77" spans="1:23" ht="15" customHeight="1">
      <c r="A77" s="125" t="s">
        <v>291</v>
      </c>
      <c r="B77" s="125" t="s">
        <v>249</v>
      </c>
      <c r="C77" s="125" t="s">
        <v>216</v>
      </c>
      <c r="D77" s="125" t="s">
        <v>217</v>
      </c>
      <c r="E77" s="125" t="s">
        <v>218</v>
      </c>
      <c r="F77" s="180" t="s">
        <v>320</v>
      </c>
      <c r="G77" s="127">
        <f aca="true" t="shared" si="37" ref="G77:L77">G78</f>
        <v>9</v>
      </c>
      <c r="H77" s="127">
        <f t="shared" si="37"/>
        <v>0</v>
      </c>
      <c r="I77" s="127">
        <f t="shared" si="37"/>
        <v>9</v>
      </c>
      <c r="J77" s="127">
        <f t="shared" si="37"/>
        <v>0</v>
      </c>
      <c r="K77" s="173">
        <f t="shared" si="37"/>
        <v>9</v>
      </c>
      <c r="L77" s="173">
        <f t="shared" si="37"/>
        <v>0</v>
      </c>
      <c r="M77" s="173">
        <f>M78+M79+M83</f>
        <v>37</v>
      </c>
      <c r="N77" s="173">
        <f>N78+N79+N83</f>
        <v>0</v>
      </c>
      <c r="O77" s="173">
        <f>O78+O79+O83+O80</f>
        <v>37</v>
      </c>
      <c r="P77" s="173">
        <f>P78+P79+P83+P80</f>
        <v>10063.759</v>
      </c>
      <c r="Q77" s="173">
        <f aca="true" t="shared" si="38" ref="Q77:W77">Q78+Q79+Q83+Q80+Q81+Q82</f>
        <v>10100.759</v>
      </c>
      <c r="R77" s="173">
        <f t="shared" si="38"/>
        <v>41857.67</v>
      </c>
      <c r="S77" s="173">
        <f t="shared" si="38"/>
        <v>51958.429000000004</v>
      </c>
      <c r="T77" s="173">
        <f t="shared" si="38"/>
        <v>-1543.8157</v>
      </c>
      <c r="U77" s="173">
        <f t="shared" si="38"/>
        <v>50414.6133</v>
      </c>
      <c r="V77" s="173">
        <f t="shared" si="38"/>
        <v>-9845.017</v>
      </c>
      <c r="W77" s="173">
        <f t="shared" si="38"/>
        <v>40569.5963</v>
      </c>
    </row>
    <row r="78" spans="1:23" s="152" customFormat="1" ht="38.25">
      <c r="A78" s="132" t="s">
        <v>291</v>
      </c>
      <c r="B78" s="132" t="s">
        <v>321</v>
      </c>
      <c r="C78" s="132" t="s">
        <v>115</v>
      </c>
      <c r="D78" s="132" t="s">
        <v>217</v>
      </c>
      <c r="E78" s="132" t="s">
        <v>294</v>
      </c>
      <c r="F78" s="179" t="s">
        <v>322</v>
      </c>
      <c r="G78" s="134">
        <v>9</v>
      </c>
      <c r="H78" s="145"/>
      <c r="I78" s="134">
        <f>G78+H78</f>
        <v>9</v>
      </c>
      <c r="J78" s="134"/>
      <c r="K78" s="174">
        <f>I78+J78</f>
        <v>9</v>
      </c>
      <c r="L78" s="174"/>
      <c r="M78" s="174">
        <f>K78+L78</f>
        <v>9</v>
      </c>
      <c r="N78" s="174"/>
      <c r="O78" s="174">
        <f>M78+N78</f>
        <v>9</v>
      </c>
      <c r="P78" s="174"/>
      <c r="Q78" s="174">
        <f>O78+P78</f>
        <v>9</v>
      </c>
      <c r="R78" s="174"/>
      <c r="S78" s="174">
        <f aca="true" t="shared" si="39" ref="S78:S83">Q78+R78</f>
        <v>9</v>
      </c>
      <c r="T78" s="174"/>
      <c r="U78" s="174">
        <f aca="true" t="shared" si="40" ref="U78:U83">S78+T78</f>
        <v>9</v>
      </c>
      <c r="V78" s="174"/>
      <c r="W78" s="174">
        <f aca="true" t="shared" si="41" ref="W78:W83">U78+V78</f>
        <v>9</v>
      </c>
    </row>
    <row r="79" spans="1:23" s="201" customFormat="1" ht="25.5">
      <c r="A79" s="13" t="s">
        <v>291</v>
      </c>
      <c r="B79" s="13" t="s">
        <v>331</v>
      </c>
      <c r="C79" s="13" t="s">
        <v>115</v>
      </c>
      <c r="D79" s="13" t="s">
        <v>217</v>
      </c>
      <c r="E79" s="13" t="s">
        <v>294</v>
      </c>
      <c r="F79" s="198" t="s">
        <v>332</v>
      </c>
      <c r="G79" s="144"/>
      <c r="H79" s="199"/>
      <c r="I79" s="144"/>
      <c r="J79" s="144"/>
      <c r="K79" s="200"/>
      <c r="L79" s="200">
        <v>28</v>
      </c>
      <c r="M79" s="200">
        <f>K79+L79</f>
        <v>28</v>
      </c>
      <c r="N79" s="200"/>
      <c r="O79" s="200">
        <f>M79+N79</f>
        <v>28</v>
      </c>
      <c r="P79" s="200"/>
      <c r="Q79" s="200">
        <f>O79+P79</f>
        <v>28</v>
      </c>
      <c r="R79" s="200"/>
      <c r="S79" s="200">
        <f t="shared" si="39"/>
        <v>28</v>
      </c>
      <c r="T79" s="200"/>
      <c r="U79" s="200">
        <f t="shared" si="40"/>
        <v>28</v>
      </c>
      <c r="V79" s="200"/>
      <c r="W79" s="200">
        <f t="shared" si="41"/>
        <v>28</v>
      </c>
    </row>
    <row r="80" spans="1:23" s="201" customFormat="1" ht="53.25" customHeight="1">
      <c r="A80" s="13" t="s">
        <v>291</v>
      </c>
      <c r="B80" s="13" t="s">
        <v>331</v>
      </c>
      <c r="C80" s="13" t="s">
        <v>115</v>
      </c>
      <c r="D80" s="13" t="s">
        <v>217</v>
      </c>
      <c r="E80" s="13" t="s">
        <v>294</v>
      </c>
      <c r="F80" s="175" t="s">
        <v>344</v>
      </c>
      <c r="G80" s="144"/>
      <c r="H80" s="199"/>
      <c r="I80" s="144"/>
      <c r="J80" s="144"/>
      <c r="K80" s="200"/>
      <c r="L80" s="200"/>
      <c r="M80" s="200"/>
      <c r="N80" s="200"/>
      <c r="O80" s="200"/>
      <c r="P80" s="200">
        <v>10063.759</v>
      </c>
      <c r="Q80" s="200">
        <f>O80+P80</f>
        <v>10063.759</v>
      </c>
      <c r="R80" s="200"/>
      <c r="S80" s="200">
        <f t="shared" si="39"/>
        <v>10063.759</v>
      </c>
      <c r="T80" s="257">
        <v>-1543.8157</v>
      </c>
      <c r="U80" s="259">
        <f t="shared" si="40"/>
        <v>8519.943299999999</v>
      </c>
      <c r="V80" s="259"/>
      <c r="W80" s="259">
        <f t="shared" si="41"/>
        <v>8519.943299999999</v>
      </c>
    </row>
    <row r="81" spans="1:23" s="201" customFormat="1" ht="76.5">
      <c r="A81" s="129" t="s">
        <v>291</v>
      </c>
      <c r="B81" s="129" t="s">
        <v>331</v>
      </c>
      <c r="C81" s="129" t="s">
        <v>115</v>
      </c>
      <c r="D81" s="129" t="s">
        <v>217</v>
      </c>
      <c r="E81" s="129" t="s">
        <v>294</v>
      </c>
      <c r="F81" s="176" t="s">
        <v>359</v>
      </c>
      <c r="G81" s="144"/>
      <c r="H81" s="199"/>
      <c r="I81" s="144"/>
      <c r="J81" s="144"/>
      <c r="K81" s="200"/>
      <c r="L81" s="200"/>
      <c r="M81" s="200"/>
      <c r="N81" s="200"/>
      <c r="O81" s="200"/>
      <c r="P81" s="200"/>
      <c r="Q81" s="200">
        <v>0</v>
      </c>
      <c r="R81" s="200">
        <v>14064.31</v>
      </c>
      <c r="S81" s="200">
        <f t="shared" si="39"/>
        <v>14064.31</v>
      </c>
      <c r="T81" s="200"/>
      <c r="U81" s="200">
        <f t="shared" si="40"/>
        <v>14064.31</v>
      </c>
      <c r="V81" s="200">
        <v>-9845.017</v>
      </c>
      <c r="W81" s="200">
        <f t="shared" si="41"/>
        <v>4219.293</v>
      </c>
    </row>
    <row r="82" spans="1:23" s="201" customFormat="1" ht="89.25">
      <c r="A82" s="129" t="s">
        <v>291</v>
      </c>
      <c r="B82" s="129" t="s">
        <v>331</v>
      </c>
      <c r="C82" s="129" t="s">
        <v>115</v>
      </c>
      <c r="D82" s="129" t="s">
        <v>217</v>
      </c>
      <c r="E82" s="129" t="s">
        <v>294</v>
      </c>
      <c r="F82" s="176" t="s">
        <v>366</v>
      </c>
      <c r="G82" s="144"/>
      <c r="H82" s="199"/>
      <c r="I82" s="144"/>
      <c r="J82" s="144"/>
      <c r="K82" s="200"/>
      <c r="L82" s="200"/>
      <c r="M82" s="200"/>
      <c r="N82" s="200"/>
      <c r="O82" s="200"/>
      <c r="P82" s="200"/>
      <c r="Q82" s="200"/>
      <c r="R82" s="200">
        <v>27793.36</v>
      </c>
      <c r="S82" s="200">
        <f t="shared" si="39"/>
        <v>27793.36</v>
      </c>
      <c r="T82" s="200"/>
      <c r="U82" s="200">
        <f t="shared" si="40"/>
        <v>27793.36</v>
      </c>
      <c r="V82" s="200"/>
      <c r="W82" s="200">
        <f t="shared" si="41"/>
        <v>27793.36</v>
      </c>
    </row>
    <row r="83" spans="1:23" s="201" customFormat="1" ht="12.75" hidden="1">
      <c r="A83" s="13" t="s">
        <v>336</v>
      </c>
      <c r="B83" s="13" t="s">
        <v>337</v>
      </c>
      <c r="C83" s="13" t="s">
        <v>115</v>
      </c>
      <c r="D83" s="13" t="s">
        <v>217</v>
      </c>
      <c r="E83" s="13" t="s">
        <v>283</v>
      </c>
      <c r="F83" s="204" t="s">
        <v>335</v>
      </c>
      <c r="G83" s="144"/>
      <c r="H83" s="199"/>
      <c r="I83" s="144"/>
      <c r="J83" s="144"/>
      <c r="K83" s="200"/>
      <c r="L83" s="200"/>
      <c r="M83" s="200"/>
      <c r="N83" s="200">
        <v>0</v>
      </c>
      <c r="O83" s="200">
        <f>M83+N83</f>
        <v>0</v>
      </c>
      <c r="P83" s="200">
        <f>N83+O83</f>
        <v>0</v>
      </c>
      <c r="Q83" s="200">
        <f>O83+P83</f>
        <v>0</v>
      </c>
      <c r="R83" s="200">
        <f>P83+Q83</f>
        <v>0</v>
      </c>
      <c r="S83" s="200">
        <f t="shared" si="39"/>
        <v>0</v>
      </c>
      <c r="T83" s="200">
        <f>R83+S83</f>
        <v>0</v>
      </c>
      <c r="U83" s="200">
        <f t="shared" si="40"/>
        <v>0</v>
      </c>
      <c r="V83" s="200">
        <f>T83+U83</f>
        <v>0</v>
      </c>
      <c r="W83" s="200">
        <f t="shared" si="41"/>
        <v>0</v>
      </c>
    </row>
    <row r="84" spans="1:23" s="152" customFormat="1" ht="38.25" hidden="1">
      <c r="A84" s="125" t="s">
        <v>323</v>
      </c>
      <c r="B84" s="125" t="s">
        <v>215</v>
      </c>
      <c r="C84" s="125" t="s">
        <v>216</v>
      </c>
      <c r="D84" s="125" t="s">
        <v>217</v>
      </c>
      <c r="E84" s="125" t="s">
        <v>218</v>
      </c>
      <c r="F84" s="180" t="s">
        <v>324</v>
      </c>
      <c r="G84" s="127">
        <f aca="true" t="shared" si="42" ref="G84:W84">G85</f>
        <v>0</v>
      </c>
      <c r="H84" s="127">
        <f t="shared" si="42"/>
        <v>0</v>
      </c>
      <c r="I84" s="127">
        <f t="shared" si="42"/>
        <v>0</v>
      </c>
      <c r="J84" s="127">
        <f t="shared" si="42"/>
        <v>0</v>
      </c>
      <c r="K84" s="173">
        <f t="shared" si="42"/>
        <v>0</v>
      </c>
      <c r="L84" s="173">
        <f t="shared" si="42"/>
        <v>0</v>
      </c>
      <c r="M84" s="173">
        <f t="shared" si="42"/>
        <v>0</v>
      </c>
      <c r="N84" s="173">
        <f t="shared" si="42"/>
        <v>0</v>
      </c>
      <c r="O84" s="173">
        <f t="shared" si="42"/>
        <v>0</v>
      </c>
      <c r="P84" s="173">
        <f t="shared" si="42"/>
        <v>0</v>
      </c>
      <c r="Q84" s="173">
        <f t="shared" si="42"/>
        <v>0</v>
      </c>
      <c r="R84" s="173">
        <f t="shared" si="42"/>
        <v>0</v>
      </c>
      <c r="S84" s="173">
        <f t="shared" si="42"/>
        <v>0</v>
      </c>
      <c r="T84" s="173">
        <f t="shared" si="42"/>
        <v>0</v>
      </c>
      <c r="U84" s="173">
        <f t="shared" si="42"/>
        <v>0</v>
      </c>
      <c r="V84" s="173">
        <f t="shared" si="42"/>
        <v>0</v>
      </c>
      <c r="W84" s="173">
        <f t="shared" si="42"/>
        <v>0</v>
      </c>
    </row>
    <row r="85" spans="1:23" s="152" customFormat="1" ht="38.25" hidden="1">
      <c r="A85" s="132" t="s">
        <v>323</v>
      </c>
      <c r="B85" s="132" t="s">
        <v>256</v>
      </c>
      <c r="C85" s="132" t="s">
        <v>115</v>
      </c>
      <c r="D85" s="132" t="s">
        <v>217</v>
      </c>
      <c r="E85" s="132" t="s">
        <v>294</v>
      </c>
      <c r="F85" s="179" t="s">
        <v>324</v>
      </c>
      <c r="G85" s="134">
        <v>0</v>
      </c>
      <c r="H85" s="145"/>
      <c r="I85" s="134">
        <f>G85+H85</f>
        <v>0</v>
      </c>
      <c r="J85" s="134"/>
      <c r="K85" s="174">
        <f aca="true" t="shared" si="43" ref="K85:Q85">I85+J85</f>
        <v>0</v>
      </c>
      <c r="L85" s="174">
        <f t="shared" si="43"/>
        <v>0</v>
      </c>
      <c r="M85" s="174">
        <f t="shared" si="43"/>
        <v>0</v>
      </c>
      <c r="N85" s="174">
        <f t="shared" si="43"/>
        <v>0</v>
      </c>
      <c r="O85" s="174">
        <f t="shared" si="43"/>
        <v>0</v>
      </c>
      <c r="P85" s="174">
        <f t="shared" si="43"/>
        <v>0</v>
      </c>
      <c r="Q85" s="174">
        <f t="shared" si="43"/>
        <v>0</v>
      </c>
      <c r="R85" s="174">
        <f aca="true" t="shared" si="44" ref="R85:W85">P85+Q85</f>
        <v>0</v>
      </c>
      <c r="S85" s="174">
        <f t="shared" si="44"/>
        <v>0</v>
      </c>
      <c r="T85" s="174">
        <f t="shared" si="44"/>
        <v>0</v>
      </c>
      <c r="U85" s="174">
        <f t="shared" si="44"/>
        <v>0</v>
      </c>
      <c r="V85" s="174">
        <f t="shared" si="44"/>
        <v>0</v>
      </c>
      <c r="W85" s="174">
        <f t="shared" si="44"/>
        <v>0</v>
      </c>
    </row>
    <row r="86" spans="1:23" ht="12.75">
      <c r="A86" s="125"/>
      <c r="B86" s="125"/>
      <c r="C86" s="125"/>
      <c r="D86" s="125"/>
      <c r="E86" s="125"/>
      <c r="F86" s="126" t="s">
        <v>325</v>
      </c>
      <c r="G86" s="181">
        <f aca="true" t="shared" si="45" ref="G86:M86">G10+G52</f>
        <v>11974.7</v>
      </c>
      <c r="H86" s="181">
        <f t="shared" si="45"/>
        <v>18367.856</v>
      </c>
      <c r="I86" s="187">
        <f t="shared" si="45"/>
        <v>30342.555999999997</v>
      </c>
      <c r="J86" s="187">
        <f t="shared" si="45"/>
        <v>778.972</v>
      </c>
      <c r="K86" s="187">
        <f t="shared" si="45"/>
        <v>31121.528</v>
      </c>
      <c r="L86" s="187">
        <f t="shared" si="45"/>
        <v>222.5</v>
      </c>
      <c r="M86" s="187">
        <f t="shared" si="45"/>
        <v>31344.028</v>
      </c>
      <c r="N86" s="187">
        <f aca="true" t="shared" si="46" ref="N86:S86">N10+N52</f>
        <v>2600</v>
      </c>
      <c r="O86" s="187">
        <f t="shared" si="46"/>
        <v>33944.028</v>
      </c>
      <c r="P86" s="187">
        <f t="shared" si="46"/>
        <v>11223.759</v>
      </c>
      <c r="Q86" s="187">
        <f t="shared" si="46"/>
        <v>45167.787</v>
      </c>
      <c r="R86" s="187">
        <f t="shared" si="46"/>
        <v>41872.17</v>
      </c>
      <c r="S86" s="187">
        <f t="shared" si="46"/>
        <v>87039.957</v>
      </c>
      <c r="T86" s="258">
        <f>T10+T52</f>
        <v>3075.1843</v>
      </c>
      <c r="U86" s="258">
        <f>U10+U52</f>
        <v>90115.14129999999</v>
      </c>
      <c r="V86" s="258">
        <f>V10+V52</f>
        <v>-9546.217</v>
      </c>
      <c r="W86" s="258">
        <f>W10+W52</f>
        <v>80568.9243</v>
      </c>
    </row>
    <row r="87" spans="1:9" ht="12.75">
      <c r="A87" s="152"/>
      <c r="B87" s="152"/>
      <c r="C87" s="152"/>
      <c r="D87" s="152"/>
      <c r="E87" s="152"/>
      <c r="F87" s="152"/>
      <c r="G87" s="182"/>
      <c r="H87" s="183">
        <f>'[1]расх 13 г'!H146</f>
        <v>20421.856</v>
      </c>
      <c r="I87" s="183"/>
    </row>
    <row r="88" spans="7:23" ht="12.75" hidden="1">
      <c r="G88" s="184"/>
      <c r="H88" s="183">
        <f>H86-H87</f>
        <v>-2054</v>
      </c>
      <c r="M88" s="123">
        <v>31121.528</v>
      </c>
      <c r="N88" s="123">
        <v>31121.528</v>
      </c>
      <c r="O88" s="123">
        <v>31121.528</v>
      </c>
      <c r="P88" s="123">
        <v>31121.528</v>
      </c>
      <c r="Q88" s="123">
        <v>31121.528</v>
      </c>
      <c r="R88" s="123">
        <v>31121.528</v>
      </c>
      <c r="S88" s="123">
        <v>31121.528</v>
      </c>
      <c r="T88" s="123">
        <v>31121.528</v>
      </c>
      <c r="U88" s="123">
        <v>31121.528</v>
      </c>
      <c r="V88" s="123">
        <v>31121.528</v>
      </c>
      <c r="W88" s="123">
        <v>31121.528</v>
      </c>
    </row>
    <row r="89" spans="7:23" ht="12.75" hidden="1">
      <c r="G89" s="184"/>
      <c r="K89" s="197"/>
      <c r="L89" s="197"/>
      <c r="M89" s="197">
        <f aca="true" t="shared" si="47" ref="M89:S89">M86-M88</f>
        <v>222.5</v>
      </c>
      <c r="N89" s="197">
        <f t="shared" si="47"/>
        <v>-28521.528</v>
      </c>
      <c r="O89" s="197">
        <f t="shared" si="47"/>
        <v>2822.5</v>
      </c>
      <c r="P89" s="197">
        <f t="shared" si="47"/>
        <v>-19897.769</v>
      </c>
      <c r="Q89" s="197">
        <f t="shared" si="47"/>
        <v>14046.258999999998</v>
      </c>
      <c r="R89" s="197">
        <f t="shared" si="47"/>
        <v>10750.642</v>
      </c>
      <c r="S89" s="197">
        <f t="shared" si="47"/>
        <v>55918.429</v>
      </c>
      <c r="T89" s="197">
        <f>T86-T88</f>
        <v>-28046.343699999998</v>
      </c>
      <c r="U89" s="197">
        <f>U86-U88</f>
        <v>58993.61329999999</v>
      </c>
      <c r="V89" s="197">
        <f>V86-V88</f>
        <v>-40667.744999999995</v>
      </c>
      <c r="W89" s="197">
        <f>W86-W88</f>
        <v>49447.3963</v>
      </c>
    </row>
    <row r="90" spans="7:13" ht="12.75">
      <c r="G90" s="184"/>
      <c r="M90" s="123">
        <v>31344.028</v>
      </c>
    </row>
    <row r="91" spans="7:23" ht="12.75">
      <c r="G91" s="185"/>
      <c r="M91" s="197">
        <f>M86-M90</f>
        <v>0</v>
      </c>
      <c r="N91" s="197">
        <f>N86</f>
        <v>2600</v>
      </c>
      <c r="O91" s="197"/>
      <c r="P91" s="197"/>
      <c r="Q91" s="197"/>
      <c r="R91" s="197"/>
      <c r="S91" s="197"/>
      <c r="T91" s="197"/>
      <c r="U91" s="197"/>
      <c r="V91" s="197"/>
      <c r="W91" s="197"/>
    </row>
    <row r="92" ht="12.75">
      <c r="G92" s="184"/>
    </row>
    <row r="93" ht="12.75">
      <c r="G93" s="184"/>
    </row>
    <row r="94" ht="12.75">
      <c r="G94" s="185"/>
    </row>
    <row r="95" ht="12.75">
      <c r="G95" s="184"/>
    </row>
    <row r="96" ht="12.75">
      <c r="G96" s="184"/>
    </row>
    <row r="97" ht="12.75">
      <c r="G97" s="184"/>
    </row>
    <row r="98" ht="12.75">
      <c r="G98" s="184"/>
    </row>
    <row r="99" ht="12.75">
      <c r="G99" s="184"/>
    </row>
    <row r="100" ht="12.75">
      <c r="G100" s="184"/>
    </row>
    <row r="101" ht="12.75">
      <c r="G101" s="184"/>
    </row>
    <row r="102" ht="12.75">
      <c r="G102" s="184"/>
    </row>
    <row r="103" ht="12.75">
      <c r="G103" s="184"/>
    </row>
    <row r="104" ht="12.75">
      <c r="G104" s="184"/>
    </row>
    <row r="105" ht="12.75">
      <c r="G105" s="184"/>
    </row>
    <row r="106" ht="12.75">
      <c r="G106" s="184"/>
    </row>
    <row r="107" ht="12.75">
      <c r="G107" s="184"/>
    </row>
    <row r="108" ht="12.75">
      <c r="G108" s="184"/>
    </row>
    <row r="109" ht="12.75">
      <c r="G109" s="184"/>
    </row>
    <row r="110" ht="12.75">
      <c r="G110" s="184"/>
    </row>
    <row r="111" ht="12.75">
      <c r="G111" s="184"/>
    </row>
    <row r="112" ht="12.75">
      <c r="G112" s="184"/>
    </row>
    <row r="113" ht="12.75">
      <c r="G113" s="184"/>
    </row>
    <row r="114" ht="12.75">
      <c r="G114" s="184"/>
    </row>
    <row r="115" ht="12.75">
      <c r="G115" s="184"/>
    </row>
    <row r="116" ht="12.75">
      <c r="G116" s="184"/>
    </row>
    <row r="117" ht="12.75">
      <c r="G117" s="184"/>
    </row>
    <row r="118" ht="12.75">
      <c r="G118" s="184"/>
    </row>
    <row r="119" ht="12.75">
      <c r="G119" s="184"/>
    </row>
    <row r="120" ht="12.75">
      <c r="G120" s="184"/>
    </row>
    <row r="121" ht="12.75">
      <c r="G121" s="184"/>
    </row>
    <row r="122" ht="12.75">
      <c r="G122" s="184"/>
    </row>
    <row r="123" ht="12.75">
      <c r="G123" s="184"/>
    </row>
    <row r="124" ht="12.75">
      <c r="G124" s="184"/>
    </row>
    <row r="125" ht="12.75">
      <c r="G125" s="184"/>
    </row>
    <row r="126" ht="12.75">
      <c r="G126" s="184"/>
    </row>
    <row r="127" ht="12.75">
      <c r="G127" s="184"/>
    </row>
    <row r="128" ht="12.75">
      <c r="G128" s="184"/>
    </row>
    <row r="129" ht="12.75">
      <c r="G129" s="184"/>
    </row>
    <row r="130" ht="12.75">
      <c r="G130" s="184"/>
    </row>
    <row r="131" ht="12.75">
      <c r="G131" s="184"/>
    </row>
    <row r="132" ht="12.75">
      <c r="G132" s="184"/>
    </row>
    <row r="133" ht="12.75">
      <c r="G133" s="184"/>
    </row>
    <row r="134" ht="12.75">
      <c r="G134" s="184"/>
    </row>
    <row r="135" ht="12.75">
      <c r="G135" s="184"/>
    </row>
    <row r="136" ht="12.75">
      <c r="G136" s="184"/>
    </row>
    <row r="137" ht="12.75">
      <c r="G137" s="184"/>
    </row>
    <row r="138" ht="12.75">
      <c r="G138" s="184"/>
    </row>
    <row r="139" ht="12.75">
      <c r="G139" s="184"/>
    </row>
    <row r="140" ht="12.75">
      <c r="G140" s="184"/>
    </row>
    <row r="141" ht="12.75">
      <c r="G141" s="184"/>
    </row>
    <row r="142" ht="12.75">
      <c r="G142" s="184"/>
    </row>
    <row r="143" ht="12.75">
      <c r="G143" s="184"/>
    </row>
    <row r="144" ht="12.75">
      <c r="G144" s="184"/>
    </row>
    <row r="145" ht="12.75">
      <c r="G145" s="184"/>
    </row>
    <row r="146" ht="12.75">
      <c r="G146" s="184"/>
    </row>
    <row r="147" ht="12.75">
      <c r="G147" s="184"/>
    </row>
    <row r="148" ht="12.75">
      <c r="G148" s="184"/>
    </row>
    <row r="149" ht="12.75">
      <c r="G149" s="184"/>
    </row>
    <row r="150" ht="12.75">
      <c r="G150" s="184"/>
    </row>
    <row r="151" ht="12.75">
      <c r="G151" s="184"/>
    </row>
    <row r="152" ht="12.75">
      <c r="G152" s="184"/>
    </row>
    <row r="153" ht="12.75">
      <c r="G153" s="184"/>
    </row>
    <row r="154" ht="12.75">
      <c r="G154" s="184"/>
    </row>
    <row r="155" ht="12.75">
      <c r="G155" s="184"/>
    </row>
    <row r="156" ht="12.75">
      <c r="G156" s="184"/>
    </row>
    <row r="157" ht="12.75">
      <c r="G157" s="184"/>
    </row>
    <row r="158" ht="12.75">
      <c r="G158" s="184"/>
    </row>
    <row r="159" ht="12.75">
      <c r="G159" s="184"/>
    </row>
    <row r="160" ht="12.75">
      <c r="G160" s="184"/>
    </row>
    <row r="161" ht="12.75">
      <c r="G161" s="184"/>
    </row>
    <row r="162" ht="12.75">
      <c r="G162" s="184"/>
    </row>
    <row r="163" ht="12.75">
      <c r="G163" s="184"/>
    </row>
    <row r="164" ht="12.75">
      <c r="G164" s="184"/>
    </row>
    <row r="165" ht="12.75">
      <c r="G165" s="184"/>
    </row>
    <row r="166" ht="12.75">
      <c r="G166" s="184"/>
    </row>
    <row r="167" ht="12.75">
      <c r="G167" s="184"/>
    </row>
    <row r="168" ht="12.75">
      <c r="G168" s="184"/>
    </row>
    <row r="169" ht="12.75">
      <c r="G169" s="184"/>
    </row>
    <row r="170" ht="12.75">
      <c r="G170" s="184"/>
    </row>
    <row r="171" ht="12.75">
      <c r="G171" s="184"/>
    </row>
    <row r="172" ht="12.75">
      <c r="G172" s="184"/>
    </row>
    <row r="173" ht="12.75">
      <c r="G173" s="184"/>
    </row>
    <row r="174" ht="12.75">
      <c r="G174" s="184"/>
    </row>
    <row r="175" ht="12.75">
      <c r="G175" s="184"/>
    </row>
    <row r="176" ht="12.75">
      <c r="G176" s="184"/>
    </row>
    <row r="177" ht="12.75">
      <c r="G177" s="184"/>
    </row>
    <row r="178" ht="12.75">
      <c r="G178" s="184"/>
    </row>
    <row r="179" ht="12.75">
      <c r="G179" s="184"/>
    </row>
    <row r="180" ht="12.75">
      <c r="G180" s="184"/>
    </row>
    <row r="181" ht="12.75">
      <c r="G181" s="184"/>
    </row>
    <row r="182" ht="12.75">
      <c r="G182" s="184"/>
    </row>
    <row r="183" ht="12.75">
      <c r="G183" s="184"/>
    </row>
    <row r="184" ht="12.75">
      <c r="G184" s="184"/>
    </row>
    <row r="185" ht="12.75">
      <c r="G185" s="184"/>
    </row>
    <row r="186" ht="12.75">
      <c r="G186" s="184"/>
    </row>
    <row r="187" ht="12.75">
      <c r="G187" s="184"/>
    </row>
    <row r="188" ht="12.75">
      <c r="G188" s="184"/>
    </row>
    <row r="189" ht="12.75">
      <c r="G189" s="184"/>
    </row>
    <row r="190" ht="12.75">
      <c r="G190" s="184"/>
    </row>
    <row r="191" ht="12.75">
      <c r="G191" s="184"/>
    </row>
    <row r="192" ht="12.75">
      <c r="G192" s="184"/>
    </row>
    <row r="193" ht="12.75">
      <c r="G193" s="184"/>
    </row>
    <row r="194" ht="12.75">
      <c r="G194" s="184"/>
    </row>
    <row r="195" ht="12.75">
      <c r="G195" s="184"/>
    </row>
    <row r="196" ht="12.75">
      <c r="G196" s="184"/>
    </row>
    <row r="197" ht="12.75">
      <c r="G197" s="184"/>
    </row>
    <row r="198" ht="12.75">
      <c r="G198" s="184"/>
    </row>
    <row r="199" ht="12.75">
      <c r="G199" s="184"/>
    </row>
    <row r="200" ht="12.75">
      <c r="G200" s="184"/>
    </row>
    <row r="201" ht="12.75">
      <c r="G201" s="184"/>
    </row>
    <row r="202" ht="12.75">
      <c r="G202" s="184"/>
    </row>
    <row r="203" ht="12.75">
      <c r="G203" s="184"/>
    </row>
    <row r="204" ht="12.75">
      <c r="G204" s="184"/>
    </row>
    <row r="205" ht="12.75">
      <c r="G205" s="184"/>
    </row>
    <row r="206" ht="12.75">
      <c r="G206" s="184"/>
    </row>
    <row r="207" ht="12.75">
      <c r="G207" s="184"/>
    </row>
    <row r="208" ht="12.75">
      <c r="G208" s="184"/>
    </row>
    <row r="209" ht="12.75">
      <c r="G209" s="184"/>
    </row>
    <row r="210" ht="12.75">
      <c r="G210" s="184"/>
    </row>
    <row r="211" ht="12.75">
      <c r="G211" s="184"/>
    </row>
    <row r="212" ht="12.75">
      <c r="G212" s="184"/>
    </row>
    <row r="213" ht="12.75">
      <c r="G213" s="184"/>
    </row>
    <row r="214" ht="12.75">
      <c r="G214" s="184"/>
    </row>
    <row r="215" ht="12.75">
      <c r="G215" s="184"/>
    </row>
    <row r="216" ht="12.75">
      <c r="G216" s="184"/>
    </row>
    <row r="217" ht="12.75">
      <c r="G217" s="184"/>
    </row>
    <row r="218" ht="12.75">
      <c r="G218" s="184"/>
    </row>
    <row r="219" ht="12.75">
      <c r="G219" s="184"/>
    </row>
    <row r="220" ht="12.75">
      <c r="G220" s="184"/>
    </row>
    <row r="221" ht="12.75">
      <c r="G221" s="184"/>
    </row>
    <row r="222" ht="12.75">
      <c r="G222" s="184"/>
    </row>
    <row r="223" ht="12.75">
      <c r="G223" s="184"/>
    </row>
    <row r="224" ht="12.75">
      <c r="G224" s="184"/>
    </row>
    <row r="225" ht="12.75">
      <c r="G225" s="184"/>
    </row>
    <row r="226" ht="12.75">
      <c r="G226" s="184"/>
    </row>
    <row r="227" ht="12.75">
      <c r="G227" s="184"/>
    </row>
    <row r="228" ht="12.75">
      <c r="G228" s="184"/>
    </row>
    <row r="229" ht="12.75">
      <c r="G229" s="184"/>
    </row>
    <row r="230" ht="12.75">
      <c r="G230" s="184"/>
    </row>
    <row r="231" ht="12.75">
      <c r="G231" s="184"/>
    </row>
    <row r="232" ht="12.75">
      <c r="G232" s="184"/>
    </row>
    <row r="233" ht="12.75">
      <c r="G233" s="184"/>
    </row>
    <row r="234" ht="12.75">
      <c r="G234" s="184"/>
    </row>
    <row r="235" ht="12.75">
      <c r="G235" s="184"/>
    </row>
    <row r="236" ht="12.75">
      <c r="G236" s="184"/>
    </row>
    <row r="237" ht="12.75">
      <c r="G237" s="184"/>
    </row>
    <row r="238" ht="12.75">
      <c r="G238" s="184"/>
    </row>
    <row r="239" ht="12.75">
      <c r="G239" s="184"/>
    </row>
    <row r="240" ht="12.75">
      <c r="G240" s="184"/>
    </row>
    <row r="241" ht="12.75">
      <c r="G241" s="184"/>
    </row>
    <row r="242" ht="12.75">
      <c r="G242" s="184"/>
    </row>
    <row r="243" ht="12.75">
      <c r="G243" s="184"/>
    </row>
    <row r="244" ht="12.75">
      <c r="G244" s="184"/>
    </row>
    <row r="245" ht="12.75">
      <c r="G245" s="184"/>
    </row>
    <row r="246" ht="12.75">
      <c r="G246" s="184"/>
    </row>
    <row r="247" ht="12.75">
      <c r="G247" s="184"/>
    </row>
    <row r="248" ht="12.75">
      <c r="G248" s="184"/>
    </row>
    <row r="249" ht="12.75">
      <c r="G249" s="184"/>
    </row>
    <row r="250" ht="12.75">
      <c r="G250" s="184"/>
    </row>
    <row r="251" ht="12.75">
      <c r="G251" s="184"/>
    </row>
    <row r="252" ht="12.75">
      <c r="G252" s="184"/>
    </row>
    <row r="253" ht="12.75">
      <c r="G253" s="184"/>
    </row>
    <row r="254" ht="12.75">
      <c r="G254" s="184"/>
    </row>
    <row r="255" ht="12.75">
      <c r="G255" s="184"/>
    </row>
    <row r="256" ht="12.75">
      <c r="G256" s="184"/>
    </row>
    <row r="257" ht="12.75">
      <c r="G257" s="184"/>
    </row>
    <row r="258" ht="12.75">
      <c r="G258" s="184"/>
    </row>
    <row r="259" ht="12.75">
      <c r="G259" s="184"/>
    </row>
    <row r="260" ht="12.75">
      <c r="G260" s="184"/>
    </row>
    <row r="261" ht="12.75">
      <c r="G261" s="184"/>
    </row>
    <row r="262" ht="12.75">
      <c r="G262" s="184"/>
    </row>
    <row r="263" ht="12.75">
      <c r="G263" s="184"/>
    </row>
    <row r="264" ht="12.75">
      <c r="G264" s="184"/>
    </row>
    <row r="265" ht="12.75">
      <c r="G265" s="184"/>
    </row>
    <row r="266" ht="12.75">
      <c r="G266" s="184"/>
    </row>
    <row r="267" ht="12.75">
      <c r="G267" s="184"/>
    </row>
    <row r="268" ht="12.75">
      <c r="G268" s="184"/>
    </row>
    <row r="269" ht="12.75">
      <c r="G269" s="184"/>
    </row>
    <row r="270" ht="12.75">
      <c r="G270" s="184"/>
    </row>
    <row r="271" ht="12.75">
      <c r="G271" s="184"/>
    </row>
    <row r="272" ht="12.75">
      <c r="G272" s="184"/>
    </row>
    <row r="273" ht="12.75">
      <c r="G273" s="184"/>
    </row>
    <row r="274" ht="12.75">
      <c r="G274" s="184"/>
    </row>
    <row r="275" ht="12.75">
      <c r="G275" s="184"/>
    </row>
    <row r="276" ht="12.75">
      <c r="G276" s="184"/>
    </row>
    <row r="277" ht="12.75">
      <c r="G277" s="184"/>
    </row>
    <row r="278" ht="12.75">
      <c r="G278" s="184"/>
    </row>
    <row r="279" ht="12.75">
      <c r="G279" s="184"/>
    </row>
    <row r="280" ht="12.75">
      <c r="G280" s="184"/>
    </row>
    <row r="281" ht="12.75">
      <c r="G281" s="184"/>
    </row>
    <row r="282" ht="12.75">
      <c r="G282" s="184"/>
    </row>
    <row r="283" ht="12.75">
      <c r="G283" s="184"/>
    </row>
    <row r="284" ht="12.75">
      <c r="G284" s="184"/>
    </row>
    <row r="285" ht="12.75">
      <c r="G285" s="184"/>
    </row>
    <row r="286" ht="12.75">
      <c r="G286" s="184"/>
    </row>
    <row r="287" ht="12.75">
      <c r="G287" s="184"/>
    </row>
    <row r="288" ht="12.75">
      <c r="G288" s="184"/>
    </row>
    <row r="289" ht="12.75">
      <c r="G289" s="184"/>
    </row>
    <row r="290" ht="12.75">
      <c r="G290" s="184"/>
    </row>
    <row r="291" ht="12.75">
      <c r="G291" s="184"/>
    </row>
    <row r="292" ht="12.75">
      <c r="G292" s="184"/>
    </row>
    <row r="293" ht="12.75">
      <c r="G293" s="184"/>
    </row>
    <row r="294" ht="12.75">
      <c r="G294" s="184"/>
    </row>
    <row r="295" ht="12.75">
      <c r="G295" s="184"/>
    </row>
    <row r="296" ht="12.75">
      <c r="G296" s="184"/>
    </row>
    <row r="297" ht="12.75">
      <c r="G297" s="184"/>
    </row>
    <row r="298" ht="12.75">
      <c r="G298" s="184"/>
    </row>
    <row r="299" ht="12.75">
      <c r="G299" s="184"/>
    </row>
    <row r="300" ht="12.75">
      <c r="G300" s="184"/>
    </row>
    <row r="301" ht="12.75">
      <c r="G301" s="184"/>
    </row>
    <row r="302" ht="12.75">
      <c r="G302" s="184"/>
    </row>
    <row r="303" ht="12.75">
      <c r="G303" s="184"/>
    </row>
    <row r="304" ht="12.75">
      <c r="G304" s="184"/>
    </row>
    <row r="305" ht="12.75">
      <c r="G305" s="184"/>
    </row>
    <row r="306" ht="12.75">
      <c r="G306" s="184"/>
    </row>
    <row r="307" ht="12.75">
      <c r="G307" s="184"/>
    </row>
    <row r="308" ht="12.75">
      <c r="G308" s="184"/>
    </row>
    <row r="309" ht="12.75">
      <c r="G309" s="184"/>
    </row>
    <row r="310" ht="12.75">
      <c r="G310" s="184"/>
    </row>
    <row r="311" ht="12.75">
      <c r="G311" s="184"/>
    </row>
    <row r="312" ht="12.75">
      <c r="G312" s="184"/>
    </row>
    <row r="313" ht="12.75">
      <c r="G313" s="184"/>
    </row>
    <row r="314" ht="12.75">
      <c r="G314" s="184"/>
    </row>
    <row r="315" ht="12.75">
      <c r="G315" s="184"/>
    </row>
    <row r="316" ht="12.75">
      <c r="G316" s="184"/>
    </row>
    <row r="317" ht="12.75">
      <c r="G317" s="184"/>
    </row>
    <row r="318" ht="12.75">
      <c r="G318" s="184"/>
    </row>
    <row r="319" ht="12.75">
      <c r="G319" s="184"/>
    </row>
    <row r="320" ht="12.75">
      <c r="G320" s="184"/>
    </row>
    <row r="321" ht="12.75">
      <c r="G321" s="184"/>
    </row>
    <row r="322" ht="12.75">
      <c r="G322" s="184"/>
    </row>
    <row r="323" ht="12.75">
      <c r="G323" s="184"/>
    </row>
    <row r="324" ht="12.75">
      <c r="G324" s="184"/>
    </row>
    <row r="325" ht="12.75">
      <c r="G325" s="184"/>
    </row>
    <row r="326" ht="12.75">
      <c r="G326" s="184"/>
    </row>
    <row r="327" ht="12.75">
      <c r="G327" s="184"/>
    </row>
    <row r="328" ht="12.75">
      <c r="G328" s="184"/>
    </row>
    <row r="329" ht="12.75">
      <c r="G329" s="184"/>
    </row>
    <row r="330" ht="12.75">
      <c r="G330" s="184"/>
    </row>
    <row r="331" ht="12.75">
      <c r="G331" s="184"/>
    </row>
    <row r="332" ht="12.75">
      <c r="G332" s="184"/>
    </row>
    <row r="333" ht="12.75">
      <c r="G333" s="184"/>
    </row>
    <row r="334" ht="12.75">
      <c r="G334" s="184"/>
    </row>
    <row r="335" ht="12.75">
      <c r="G335" s="184"/>
    </row>
    <row r="336" ht="12.75">
      <c r="G336" s="184"/>
    </row>
    <row r="337" ht="12.75">
      <c r="G337" s="184"/>
    </row>
    <row r="338" ht="12.75">
      <c r="G338" s="184"/>
    </row>
    <row r="339" ht="12.75">
      <c r="G339" s="184"/>
    </row>
    <row r="340" ht="12.75">
      <c r="G340" s="184"/>
    </row>
    <row r="341" ht="12.75">
      <c r="G341" s="184"/>
    </row>
    <row r="342" ht="12.75">
      <c r="G342" s="184"/>
    </row>
    <row r="343" ht="12.75">
      <c r="G343" s="184"/>
    </row>
    <row r="344" ht="12.75">
      <c r="G344" s="184"/>
    </row>
    <row r="345" ht="12.75">
      <c r="G345" s="184"/>
    </row>
    <row r="346" ht="12.75">
      <c r="G346" s="184"/>
    </row>
    <row r="347" ht="12.75">
      <c r="G347" s="184"/>
    </row>
    <row r="348" ht="12.75">
      <c r="G348" s="184"/>
    </row>
    <row r="349" ht="12.75">
      <c r="G349" s="184"/>
    </row>
    <row r="350" ht="12.75">
      <c r="G350" s="184"/>
    </row>
    <row r="351" ht="12.75">
      <c r="G351" s="184"/>
    </row>
    <row r="352" ht="12.75">
      <c r="G352" s="184"/>
    </row>
    <row r="353" ht="12.75">
      <c r="G353" s="184"/>
    </row>
    <row r="354" ht="12.75">
      <c r="G354" s="184"/>
    </row>
    <row r="355" ht="12.75">
      <c r="G355" s="184"/>
    </row>
    <row r="356" ht="12.75">
      <c r="G356" s="184"/>
    </row>
    <row r="357" ht="12.75">
      <c r="G357" s="184"/>
    </row>
    <row r="358" ht="12.75">
      <c r="G358" s="184"/>
    </row>
    <row r="359" ht="12.75">
      <c r="G359" s="184"/>
    </row>
    <row r="360" ht="12.75">
      <c r="G360" s="184"/>
    </row>
    <row r="361" ht="12.75">
      <c r="G361" s="184"/>
    </row>
    <row r="362" ht="12.75">
      <c r="G362" s="184"/>
    </row>
    <row r="363" ht="12.75">
      <c r="G363" s="184"/>
    </row>
    <row r="364" ht="12.75">
      <c r="G364" s="184"/>
    </row>
    <row r="365" ht="12.75">
      <c r="G365" s="184"/>
    </row>
    <row r="366" ht="12.75">
      <c r="G366" s="184"/>
    </row>
    <row r="367" ht="12.75">
      <c r="G367" s="184"/>
    </row>
    <row r="368" ht="12.75">
      <c r="G368" s="184"/>
    </row>
    <row r="369" ht="12.75">
      <c r="G369" s="184"/>
    </row>
    <row r="370" ht="12.75">
      <c r="G370" s="184"/>
    </row>
  </sheetData>
  <sheetProtection/>
  <mergeCells count="8">
    <mergeCell ref="A6:S6"/>
    <mergeCell ref="F1:W1"/>
    <mergeCell ref="F2:W2"/>
    <mergeCell ref="F3:W3"/>
    <mergeCell ref="A52:F52"/>
    <mergeCell ref="A8:E8"/>
    <mergeCell ref="A9:E9"/>
    <mergeCell ref="A51:F51"/>
  </mergeCells>
  <printOptions/>
  <pageMargins left="0.7874015748031497"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E261"/>
  <sheetViews>
    <sheetView tabSelected="1" zoomScalePageLayoutView="0" workbookViewId="0" topLeftCell="A1">
      <selection activeCell="C16" sqref="C16"/>
    </sheetView>
  </sheetViews>
  <sheetFormatPr defaultColWidth="9.00390625" defaultRowHeight="12.75"/>
  <cols>
    <col min="1" max="1" width="49.875" style="5" customWidth="1"/>
    <col min="2" max="2" width="7.125" style="80" customWidth="1"/>
    <col min="3" max="3" width="4.875" style="80" customWidth="1"/>
    <col min="4" max="4" width="4.375" style="80" customWidth="1"/>
    <col min="5" max="5" width="9.75390625" style="80" customWidth="1"/>
    <col min="6" max="6" width="4.375" style="80" customWidth="1"/>
    <col min="7" max="7" width="11.125" style="115" hidden="1" customWidth="1"/>
    <col min="8" max="8" width="13.00390625" style="85" hidden="1" customWidth="1"/>
    <col min="9" max="9" width="11.125" style="85" hidden="1" customWidth="1"/>
    <col min="10" max="10" width="13.00390625" style="85" hidden="1" customWidth="1"/>
    <col min="11" max="11" width="11.125" style="85" hidden="1" customWidth="1"/>
    <col min="12" max="12" width="10.375" style="1" hidden="1" customWidth="1"/>
    <col min="13" max="13" width="11.00390625" style="1" hidden="1" customWidth="1"/>
    <col min="14" max="14" width="11.125" style="1" hidden="1" customWidth="1"/>
    <col min="15" max="17" width="11.625" style="1" hidden="1" customWidth="1"/>
    <col min="18" max="18" width="10.25390625" style="1" hidden="1" customWidth="1"/>
    <col min="19" max="19" width="13.125" style="1" hidden="1" customWidth="1"/>
    <col min="20" max="20" width="0.12890625" style="1" hidden="1" customWidth="1"/>
    <col min="21" max="23" width="13.125" style="1" hidden="1" customWidth="1"/>
    <col min="24" max="24" width="13.625" style="1" hidden="1" customWidth="1"/>
    <col min="25" max="26" width="13.875" style="1" hidden="1" customWidth="1"/>
    <col min="27" max="27" width="12.25390625" style="1" hidden="1" customWidth="1"/>
    <col min="28" max="28" width="11.625" style="1" hidden="1" customWidth="1"/>
    <col min="29" max="30" width="11.75390625" style="1" hidden="1" customWidth="1"/>
    <col min="31" max="31" width="11.75390625" style="1" customWidth="1"/>
    <col min="32" max="16384" width="9.125" style="1" customWidth="1"/>
  </cols>
  <sheetData>
    <row r="1" spans="1:31" s="5" customFormat="1" ht="15.75">
      <c r="A1" s="7"/>
      <c r="B1" s="57"/>
      <c r="C1" s="281" t="s">
        <v>384</v>
      </c>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row>
    <row r="2" spans="1:31" s="5" customFormat="1" ht="15.75">
      <c r="A2" s="7"/>
      <c r="B2" s="57"/>
      <c r="C2" s="281" t="s">
        <v>10</v>
      </c>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row>
    <row r="3" spans="1:31" s="5" customFormat="1" ht="15.75">
      <c r="A3" s="7"/>
      <c r="B3" s="57"/>
      <c r="C3" s="281" t="s">
        <v>385</v>
      </c>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row>
    <row r="4" spans="1:11" s="5" customFormat="1" ht="15.75">
      <c r="A4" s="7"/>
      <c r="B4" s="57"/>
      <c r="C4" s="57"/>
      <c r="D4" s="76"/>
      <c r="E4" s="57"/>
      <c r="F4" s="57"/>
      <c r="G4" s="78"/>
      <c r="H4" s="79"/>
      <c r="I4" s="80"/>
      <c r="J4" s="79"/>
      <c r="K4" s="80"/>
    </row>
    <row r="5" spans="1:27" s="5" customFormat="1" ht="30.75" customHeight="1">
      <c r="A5" s="280" t="s">
        <v>182</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row>
    <row r="7" spans="1:31" s="4" customFormat="1" ht="51.75" customHeight="1">
      <c r="A7" s="87" t="s">
        <v>17</v>
      </c>
      <c r="B7" s="87" t="s">
        <v>15</v>
      </c>
      <c r="C7" s="87" t="s">
        <v>14</v>
      </c>
      <c r="D7" s="87" t="s">
        <v>13</v>
      </c>
      <c r="E7" s="87" t="s">
        <v>12</v>
      </c>
      <c r="F7" s="87" t="s">
        <v>11</v>
      </c>
      <c r="G7" s="86" t="s">
        <v>16</v>
      </c>
      <c r="H7" s="87" t="s">
        <v>191</v>
      </c>
      <c r="I7" s="86" t="s">
        <v>16</v>
      </c>
      <c r="J7" s="87" t="s">
        <v>191</v>
      </c>
      <c r="K7" s="86" t="s">
        <v>16</v>
      </c>
      <c r="L7" s="195" t="s">
        <v>326</v>
      </c>
      <c r="M7" s="86" t="s">
        <v>16</v>
      </c>
      <c r="N7" s="195" t="s">
        <v>191</v>
      </c>
      <c r="O7" s="86" t="s">
        <v>16</v>
      </c>
      <c r="P7" s="86" t="s">
        <v>191</v>
      </c>
      <c r="Q7" s="86" t="s">
        <v>16</v>
      </c>
      <c r="R7" s="86" t="s">
        <v>191</v>
      </c>
      <c r="S7" s="86" t="s">
        <v>16</v>
      </c>
      <c r="T7" s="86" t="s">
        <v>191</v>
      </c>
      <c r="U7" s="86" t="s">
        <v>16</v>
      </c>
      <c r="V7" s="86" t="s">
        <v>191</v>
      </c>
      <c r="W7" s="86" t="s">
        <v>16</v>
      </c>
      <c r="X7" s="86" t="s">
        <v>340</v>
      </c>
      <c r="Y7" s="86" t="s">
        <v>16</v>
      </c>
      <c r="Z7" s="86" t="s">
        <v>191</v>
      </c>
      <c r="AA7" s="86" t="s">
        <v>16</v>
      </c>
      <c r="AB7" s="86" t="s">
        <v>326</v>
      </c>
      <c r="AC7" s="86" t="s">
        <v>16</v>
      </c>
      <c r="AD7" s="86" t="s">
        <v>16</v>
      </c>
      <c r="AE7" s="86" t="s">
        <v>16</v>
      </c>
    </row>
    <row r="8" spans="1:31" ht="15.75">
      <c r="A8" s="88">
        <v>1</v>
      </c>
      <c r="B8" s="88">
        <v>2</v>
      </c>
      <c r="C8" s="88">
        <v>3</v>
      </c>
      <c r="D8" s="88">
        <v>4</v>
      </c>
      <c r="E8" s="88">
        <v>5</v>
      </c>
      <c r="F8" s="88">
        <v>6</v>
      </c>
      <c r="G8" s="100">
        <v>7</v>
      </c>
      <c r="H8" s="88"/>
      <c r="I8" s="88"/>
      <c r="J8" s="88"/>
      <c r="K8" s="88"/>
      <c r="L8" s="12"/>
      <c r="M8" s="12"/>
      <c r="N8" s="12"/>
      <c r="O8" s="12"/>
      <c r="P8" s="186"/>
      <c r="Q8" s="12"/>
      <c r="R8" s="12"/>
      <c r="S8" s="12">
        <v>7</v>
      </c>
      <c r="T8" s="12">
        <v>7</v>
      </c>
      <c r="U8" s="12">
        <v>7</v>
      </c>
      <c r="V8" s="12">
        <v>7</v>
      </c>
      <c r="W8" s="12">
        <v>7</v>
      </c>
      <c r="X8" s="12">
        <v>7</v>
      </c>
      <c r="Y8" s="12">
        <v>7</v>
      </c>
      <c r="Z8" s="12">
        <v>7</v>
      </c>
      <c r="AA8" s="12">
        <v>7</v>
      </c>
      <c r="AB8" s="12">
        <v>7</v>
      </c>
      <c r="AC8" s="12">
        <v>7</v>
      </c>
      <c r="AD8" s="12">
        <v>7</v>
      </c>
      <c r="AE8" s="12">
        <v>7</v>
      </c>
    </row>
    <row r="9" spans="1:31" s="31" customFormat="1" ht="15.75">
      <c r="A9" s="30" t="s">
        <v>23</v>
      </c>
      <c r="B9" s="47" t="s">
        <v>189</v>
      </c>
      <c r="C9" s="101" t="s">
        <v>1</v>
      </c>
      <c r="D9" s="101"/>
      <c r="E9" s="101"/>
      <c r="F9" s="101"/>
      <c r="G9" s="58">
        <f aca="true" t="shared" si="0" ref="G9:M9">G10+G14+G18+G29+G41</f>
        <v>7299.829</v>
      </c>
      <c r="H9" s="58">
        <f t="shared" si="0"/>
        <v>165</v>
      </c>
      <c r="I9" s="81">
        <f t="shared" si="0"/>
        <v>7464.829</v>
      </c>
      <c r="J9" s="58">
        <f t="shared" si="0"/>
        <v>400</v>
      </c>
      <c r="K9" s="81">
        <f t="shared" si="0"/>
        <v>7864.829</v>
      </c>
      <c r="L9" s="81">
        <f t="shared" si="0"/>
        <v>0</v>
      </c>
      <c r="M9" s="81">
        <f t="shared" si="0"/>
        <v>7864.829</v>
      </c>
      <c r="N9" s="81">
        <f aca="true" t="shared" si="1" ref="N9:S9">N10+N14+N18+N29+N41</f>
        <v>0</v>
      </c>
      <c r="O9" s="81">
        <f t="shared" si="1"/>
        <v>7864.829</v>
      </c>
      <c r="P9" s="81">
        <f t="shared" si="1"/>
        <v>730</v>
      </c>
      <c r="Q9" s="81">
        <f t="shared" si="1"/>
        <v>8594.829</v>
      </c>
      <c r="R9" s="81">
        <f t="shared" si="1"/>
        <v>594.4098000000001</v>
      </c>
      <c r="S9" s="205">
        <f t="shared" si="1"/>
        <v>9189.2388</v>
      </c>
      <c r="T9" s="205">
        <f aca="true" t="shared" si="2" ref="T9:Y9">T10+T14+T18+T29+T41</f>
        <v>0</v>
      </c>
      <c r="U9" s="205">
        <f t="shared" si="2"/>
        <v>9189.2388</v>
      </c>
      <c r="V9" s="205">
        <f t="shared" si="2"/>
        <v>1130</v>
      </c>
      <c r="W9" s="205">
        <f t="shared" si="2"/>
        <v>10319.2388</v>
      </c>
      <c r="X9" s="205">
        <f t="shared" si="2"/>
        <v>206.39999999999998</v>
      </c>
      <c r="Y9" s="232">
        <f t="shared" si="2"/>
        <v>10525.6388</v>
      </c>
      <c r="Z9" s="232">
        <f>Z10+Z14+Z18+Z29+Z41</f>
        <v>109.45000000000002</v>
      </c>
      <c r="AA9" s="232">
        <f>AA10+AA14+AA18+AA29+AA41+AA38</f>
        <v>10635.088800000001</v>
      </c>
      <c r="AB9" s="232">
        <f>AB10+AB14+AB18+AB29+AB41+AB38</f>
        <v>4356.5</v>
      </c>
      <c r="AC9" s="232">
        <f>AC10+AC14+AC18+AC29+AC41+AC38</f>
        <v>14991.5888</v>
      </c>
      <c r="AD9" s="232">
        <f>AD10+AD14+AD18+AD29+AD41+AD38</f>
        <v>298.8</v>
      </c>
      <c r="AE9" s="232">
        <f>AE10+AE14+AE18+AE29+AE41+AE38</f>
        <v>15290.3888</v>
      </c>
    </row>
    <row r="10" spans="1:31" s="33" customFormat="1" ht="40.5" customHeight="1">
      <c r="A10" s="32" t="s">
        <v>24</v>
      </c>
      <c r="B10" s="47" t="s">
        <v>189</v>
      </c>
      <c r="C10" s="102" t="s">
        <v>1</v>
      </c>
      <c r="D10" s="102" t="s">
        <v>2</v>
      </c>
      <c r="E10" s="103"/>
      <c r="F10" s="103"/>
      <c r="G10" s="59">
        <f>G11</f>
        <v>746.664</v>
      </c>
      <c r="H10" s="59">
        <f aca="true" t="shared" si="3" ref="H10:X12">H11</f>
        <v>0</v>
      </c>
      <c r="I10" s="82">
        <f t="shared" si="3"/>
        <v>746.664</v>
      </c>
      <c r="J10" s="59">
        <f t="shared" si="3"/>
        <v>0</v>
      </c>
      <c r="K10" s="82">
        <f t="shared" si="3"/>
        <v>746.664</v>
      </c>
      <c r="L10" s="82">
        <f t="shared" si="3"/>
        <v>0</v>
      </c>
      <c r="M10" s="82">
        <f t="shared" si="3"/>
        <v>746.664</v>
      </c>
      <c r="N10" s="82">
        <f t="shared" si="3"/>
        <v>0</v>
      </c>
      <c r="O10" s="82">
        <f t="shared" si="3"/>
        <v>746.664</v>
      </c>
      <c r="P10" s="82">
        <f t="shared" si="3"/>
        <v>100</v>
      </c>
      <c r="Q10" s="82">
        <f t="shared" si="3"/>
        <v>846.664</v>
      </c>
      <c r="R10" s="82">
        <f t="shared" si="3"/>
        <v>0</v>
      </c>
      <c r="S10" s="206">
        <f t="shared" si="3"/>
        <v>846.664</v>
      </c>
      <c r="T10" s="206">
        <f t="shared" si="3"/>
        <v>0</v>
      </c>
      <c r="U10" s="206">
        <f t="shared" si="3"/>
        <v>846.664</v>
      </c>
      <c r="V10" s="206">
        <f t="shared" si="3"/>
        <v>117.5</v>
      </c>
      <c r="W10" s="206">
        <f t="shared" si="3"/>
        <v>964.164</v>
      </c>
      <c r="X10" s="206">
        <f t="shared" si="3"/>
        <v>0</v>
      </c>
      <c r="Y10" s="233">
        <f aca="true" t="shared" si="4" ref="X10:AE12">Y11</f>
        <v>964.164</v>
      </c>
      <c r="Z10" s="233">
        <f t="shared" si="4"/>
        <v>-124.75</v>
      </c>
      <c r="AA10" s="233">
        <f t="shared" si="4"/>
        <v>839.414</v>
      </c>
      <c r="AB10" s="233">
        <f t="shared" si="4"/>
        <v>0</v>
      </c>
      <c r="AC10" s="233">
        <f t="shared" si="4"/>
        <v>839.414</v>
      </c>
      <c r="AD10" s="233">
        <f t="shared" si="4"/>
        <v>0</v>
      </c>
      <c r="AE10" s="233">
        <f t="shared" si="4"/>
        <v>839.414</v>
      </c>
    </row>
    <row r="11" spans="1:31" s="5" customFormat="1" ht="53.25" customHeight="1">
      <c r="A11" s="45" t="s">
        <v>25</v>
      </c>
      <c r="B11" s="48" t="s">
        <v>189</v>
      </c>
      <c r="C11" s="104" t="s">
        <v>1</v>
      </c>
      <c r="D11" s="104" t="s">
        <v>2</v>
      </c>
      <c r="E11" s="104" t="s">
        <v>26</v>
      </c>
      <c r="F11" s="105"/>
      <c r="G11" s="60">
        <f>G12</f>
        <v>746.664</v>
      </c>
      <c r="H11" s="60">
        <f t="shared" si="3"/>
        <v>0</v>
      </c>
      <c r="I11" s="83">
        <f t="shared" si="3"/>
        <v>746.664</v>
      </c>
      <c r="J11" s="60">
        <f t="shared" si="3"/>
        <v>0</v>
      </c>
      <c r="K11" s="83">
        <f t="shared" si="3"/>
        <v>746.664</v>
      </c>
      <c r="L11" s="83">
        <f t="shared" si="3"/>
        <v>0</v>
      </c>
      <c r="M11" s="83">
        <f t="shared" si="3"/>
        <v>746.664</v>
      </c>
      <c r="N11" s="83">
        <f t="shared" si="3"/>
        <v>0</v>
      </c>
      <c r="O11" s="83">
        <f t="shared" si="3"/>
        <v>746.664</v>
      </c>
      <c r="P11" s="83">
        <f t="shared" si="3"/>
        <v>100</v>
      </c>
      <c r="Q11" s="83">
        <f t="shared" si="3"/>
        <v>846.664</v>
      </c>
      <c r="R11" s="83">
        <f t="shared" si="3"/>
        <v>0</v>
      </c>
      <c r="S11" s="207">
        <f t="shared" si="3"/>
        <v>846.664</v>
      </c>
      <c r="T11" s="207">
        <f t="shared" si="3"/>
        <v>0</v>
      </c>
      <c r="U11" s="207">
        <f t="shared" si="3"/>
        <v>846.664</v>
      </c>
      <c r="V11" s="207">
        <f t="shared" si="3"/>
        <v>117.5</v>
      </c>
      <c r="W11" s="207">
        <f t="shared" si="3"/>
        <v>964.164</v>
      </c>
      <c r="X11" s="207">
        <f t="shared" si="4"/>
        <v>0</v>
      </c>
      <c r="Y11" s="234">
        <f t="shared" si="4"/>
        <v>964.164</v>
      </c>
      <c r="Z11" s="234">
        <f t="shared" si="4"/>
        <v>-124.75</v>
      </c>
      <c r="AA11" s="234">
        <f t="shared" si="4"/>
        <v>839.414</v>
      </c>
      <c r="AB11" s="234">
        <f t="shared" si="4"/>
        <v>0</v>
      </c>
      <c r="AC11" s="234">
        <f t="shared" si="4"/>
        <v>839.414</v>
      </c>
      <c r="AD11" s="234">
        <f t="shared" si="4"/>
        <v>0</v>
      </c>
      <c r="AE11" s="234">
        <f t="shared" si="4"/>
        <v>839.414</v>
      </c>
    </row>
    <row r="12" spans="1:31" s="5" customFormat="1" ht="15.75">
      <c r="A12" s="106" t="s">
        <v>27</v>
      </c>
      <c r="B12" s="48" t="s">
        <v>189</v>
      </c>
      <c r="C12" s="105" t="s">
        <v>1</v>
      </c>
      <c r="D12" s="105" t="s">
        <v>2</v>
      </c>
      <c r="E12" s="105" t="s">
        <v>28</v>
      </c>
      <c r="F12" s="105"/>
      <c r="G12" s="60">
        <f>G13</f>
        <v>746.664</v>
      </c>
      <c r="H12" s="60">
        <f t="shared" si="3"/>
        <v>0</v>
      </c>
      <c r="I12" s="83">
        <f t="shared" si="3"/>
        <v>746.664</v>
      </c>
      <c r="J12" s="60">
        <f t="shared" si="3"/>
        <v>0</v>
      </c>
      <c r="K12" s="83">
        <f t="shared" si="3"/>
        <v>746.664</v>
      </c>
      <c r="L12" s="83">
        <f t="shared" si="3"/>
        <v>0</v>
      </c>
      <c r="M12" s="83">
        <f t="shared" si="3"/>
        <v>746.664</v>
      </c>
      <c r="N12" s="83">
        <f t="shared" si="3"/>
        <v>0</v>
      </c>
      <c r="O12" s="83">
        <f t="shared" si="3"/>
        <v>746.664</v>
      </c>
      <c r="P12" s="83">
        <f t="shared" si="3"/>
        <v>100</v>
      </c>
      <c r="Q12" s="83">
        <f t="shared" si="3"/>
        <v>846.664</v>
      </c>
      <c r="R12" s="83">
        <f t="shared" si="3"/>
        <v>0</v>
      </c>
      <c r="S12" s="207">
        <f t="shared" si="3"/>
        <v>846.664</v>
      </c>
      <c r="T12" s="207">
        <f t="shared" si="3"/>
        <v>0</v>
      </c>
      <c r="U12" s="207">
        <f t="shared" si="3"/>
        <v>846.664</v>
      </c>
      <c r="V12" s="207">
        <f t="shared" si="3"/>
        <v>117.5</v>
      </c>
      <c r="W12" s="207">
        <f t="shared" si="3"/>
        <v>964.164</v>
      </c>
      <c r="X12" s="207">
        <f t="shared" si="4"/>
        <v>0</v>
      </c>
      <c r="Y12" s="234">
        <f t="shared" si="4"/>
        <v>964.164</v>
      </c>
      <c r="Z12" s="234">
        <f t="shared" si="4"/>
        <v>-124.75</v>
      </c>
      <c r="AA12" s="234">
        <f t="shared" si="4"/>
        <v>839.414</v>
      </c>
      <c r="AB12" s="234">
        <f t="shared" si="4"/>
        <v>0</v>
      </c>
      <c r="AC12" s="234">
        <f t="shared" si="4"/>
        <v>839.414</v>
      </c>
      <c r="AD12" s="234">
        <f t="shared" si="4"/>
        <v>0</v>
      </c>
      <c r="AE12" s="234">
        <f t="shared" si="4"/>
        <v>839.414</v>
      </c>
    </row>
    <row r="13" spans="1:31" s="5" customFormat="1" ht="15.75">
      <c r="A13" s="106" t="s">
        <v>29</v>
      </c>
      <c r="B13" s="48" t="s">
        <v>189</v>
      </c>
      <c r="C13" s="105" t="s">
        <v>1</v>
      </c>
      <c r="D13" s="105" t="s">
        <v>2</v>
      </c>
      <c r="E13" s="105" t="s">
        <v>28</v>
      </c>
      <c r="F13" s="105">
        <v>121</v>
      </c>
      <c r="G13" s="61">
        <v>746.664</v>
      </c>
      <c r="H13" s="28"/>
      <c r="I13" s="71">
        <f>G13+H13</f>
        <v>746.664</v>
      </c>
      <c r="J13" s="28"/>
      <c r="K13" s="71">
        <f>I13+J13</f>
        <v>746.664</v>
      </c>
      <c r="L13" s="71"/>
      <c r="M13" s="71">
        <f>K13+L13</f>
        <v>746.664</v>
      </c>
      <c r="N13" s="71"/>
      <c r="O13" s="71">
        <f>M13+N13</f>
        <v>746.664</v>
      </c>
      <c r="P13" s="71">
        <f>77+23</f>
        <v>100</v>
      </c>
      <c r="Q13" s="71">
        <f>O13+P13</f>
        <v>846.664</v>
      </c>
      <c r="R13" s="71"/>
      <c r="S13" s="208">
        <f>Q13+R13</f>
        <v>846.664</v>
      </c>
      <c r="T13" s="208"/>
      <c r="U13" s="208">
        <f>S13+T13</f>
        <v>846.664</v>
      </c>
      <c r="V13" s="208">
        <f>90+27.5</f>
        <v>117.5</v>
      </c>
      <c r="W13" s="208">
        <f>U13+V13</f>
        <v>964.164</v>
      </c>
      <c r="X13" s="208"/>
      <c r="Y13" s="235">
        <f>W13+X13</f>
        <v>964.164</v>
      </c>
      <c r="Z13" s="235">
        <f>-90-30-4.75</f>
        <v>-124.75</v>
      </c>
      <c r="AA13" s="235">
        <f>Y13+Z13</f>
        <v>839.414</v>
      </c>
      <c r="AB13" s="235"/>
      <c r="AC13" s="235">
        <f>AA13+AB13</f>
        <v>839.414</v>
      </c>
      <c r="AD13" s="235"/>
      <c r="AE13" s="235">
        <f>AC13+AD13</f>
        <v>839.414</v>
      </c>
    </row>
    <row r="14" spans="1:31" s="33" customFormat="1" ht="42" customHeight="1">
      <c r="A14" s="32" t="s">
        <v>47</v>
      </c>
      <c r="B14" s="47" t="s">
        <v>189</v>
      </c>
      <c r="C14" s="34" t="s">
        <v>1</v>
      </c>
      <c r="D14" s="34" t="s">
        <v>4</v>
      </c>
      <c r="E14" s="35"/>
      <c r="F14" s="34"/>
      <c r="G14" s="59">
        <f>G15</f>
        <v>572.0608</v>
      </c>
      <c r="H14" s="59">
        <f aca="true" t="shared" si="5" ref="H14:X16">H15</f>
        <v>0</v>
      </c>
      <c r="I14" s="82">
        <f t="shared" si="5"/>
        <v>572.0608</v>
      </c>
      <c r="J14" s="59">
        <f t="shared" si="5"/>
        <v>0</v>
      </c>
      <c r="K14" s="82">
        <f t="shared" si="5"/>
        <v>572.0608</v>
      </c>
      <c r="L14" s="82">
        <f t="shared" si="5"/>
        <v>0</v>
      </c>
      <c r="M14" s="82">
        <f t="shared" si="5"/>
        <v>572.0608</v>
      </c>
      <c r="N14" s="82">
        <f t="shared" si="5"/>
        <v>0</v>
      </c>
      <c r="O14" s="82">
        <f t="shared" si="5"/>
        <v>572.0608</v>
      </c>
      <c r="P14" s="82">
        <f t="shared" si="5"/>
        <v>0</v>
      </c>
      <c r="Q14" s="82">
        <f t="shared" si="5"/>
        <v>572.0608</v>
      </c>
      <c r="R14" s="82">
        <f t="shared" si="5"/>
        <v>0</v>
      </c>
      <c r="S14" s="206">
        <f t="shared" si="5"/>
        <v>572.0608</v>
      </c>
      <c r="T14" s="206">
        <f t="shared" si="5"/>
        <v>0</v>
      </c>
      <c r="U14" s="206">
        <f t="shared" si="5"/>
        <v>572.0608</v>
      </c>
      <c r="V14" s="206">
        <f t="shared" si="5"/>
        <v>0</v>
      </c>
      <c r="W14" s="206">
        <f t="shared" si="5"/>
        <v>572.0608</v>
      </c>
      <c r="X14" s="206">
        <f t="shared" si="5"/>
        <v>160.2</v>
      </c>
      <c r="Y14" s="233">
        <f aca="true" t="shared" si="6" ref="X14:AE16">Y15</f>
        <v>732.2608</v>
      </c>
      <c r="Z14" s="233">
        <f t="shared" si="6"/>
        <v>0</v>
      </c>
      <c r="AA14" s="233">
        <f t="shared" si="6"/>
        <v>732.2608</v>
      </c>
      <c r="AB14" s="233">
        <f t="shared" si="6"/>
        <v>0</v>
      </c>
      <c r="AC14" s="233">
        <f t="shared" si="6"/>
        <v>732.2608</v>
      </c>
      <c r="AD14" s="233">
        <f t="shared" si="6"/>
        <v>0</v>
      </c>
      <c r="AE14" s="233">
        <f t="shared" si="6"/>
        <v>732.2608</v>
      </c>
    </row>
    <row r="15" spans="1:31" s="5" customFormat="1" ht="39.75" customHeight="1">
      <c r="A15" s="49" t="s">
        <v>48</v>
      </c>
      <c r="B15" s="48" t="s">
        <v>189</v>
      </c>
      <c r="C15" s="27" t="s">
        <v>1</v>
      </c>
      <c r="D15" s="27" t="s">
        <v>4</v>
      </c>
      <c r="E15" s="50" t="s">
        <v>26</v>
      </c>
      <c r="F15" s="27"/>
      <c r="G15" s="60">
        <f>G16</f>
        <v>572.0608</v>
      </c>
      <c r="H15" s="60">
        <f t="shared" si="5"/>
        <v>0</v>
      </c>
      <c r="I15" s="83">
        <f t="shared" si="5"/>
        <v>572.0608</v>
      </c>
      <c r="J15" s="60">
        <f t="shared" si="5"/>
        <v>0</v>
      </c>
      <c r="K15" s="83">
        <f t="shared" si="5"/>
        <v>572.0608</v>
      </c>
      <c r="L15" s="83">
        <f t="shared" si="5"/>
        <v>0</v>
      </c>
      <c r="M15" s="83">
        <f t="shared" si="5"/>
        <v>572.0608</v>
      </c>
      <c r="N15" s="83">
        <f t="shared" si="5"/>
        <v>0</v>
      </c>
      <c r="O15" s="83">
        <f t="shared" si="5"/>
        <v>572.0608</v>
      </c>
      <c r="P15" s="83">
        <f t="shared" si="5"/>
        <v>0</v>
      </c>
      <c r="Q15" s="83">
        <f t="shared" si="5"/>
        <v>572.0608</v>
      </c>
      <c r="R15" s="83">
        <f t="shared" si="5"/>
        <v>0</v>
      </c>
      <c r="S15" s="207">
        <f t="shared" si="5"/>
        <v>572.0608</v>
      </c>
      <c r="T15" s="207">
        <f t="shared" si="5"/>
        <v>0</v>
      </c>
      <c r="U15" s="207">
        <f t="shared" si="5"/>
        <v>572.0608</v>
      </c>
      <c r="V15" s="207">
        <f t="shared" si="5"/>
        <v>0</v>
      </c>
      <c r="W15" s="207">
        <f t="shared" si="5"/>
        <v>572.0608</v>
      </c>
      <c r="X15" s="207">
        <f t="shared" si="6"/>
        <v>160.2</v>
      </c>
      <c r="Y15" s="234">
        <f t="shared" si="6"/>
        <v>732.2608</v>
      </c>
      <c r="Z15" s="234">
        <f t="shared" si="6"/>
        <v>0</v>
      </c>
      <c r="AA15" s="234">
        <f t="shared" si="6"/>
        <v>732.2608</v>
      </c>
      <c r="AB15" s="234">
        <f t="shared" si="6"/>
        <v>0</v>
      </c>
      <c r="AC15" s="234">
        <f t="shared" si="6"/>
        <v>732.2608</v>
      </c>
      <c r="AD15" s="234">
        <f t="shared" si="6"/>
        <v>0</v>
      </c>
      <c r="AE15" s="234">
        <f t="shared" si="6"/>
        <v>732.2608</v>
      </c>
    </row>
    <row r="16" spans="1:31" s="5" customFormat="1" ht="26.25" customHeight="1">
      <c r="A16" s="49" t="s">
        <v>49</v>
      </c>
      <c r="B16" s="48" t="s">
        <v>189</v>
      </c>
      <c r="C16" s="27" t="s">
        <v>1</v>
      </c>
      <c r="D16" s="27" t="s">
        <v>4</v>
      </c>
      <c r="E16" s="51" t="s">
        <v>50</v>
      </c>
      <c r="F16" s="51"/>
      <c r="G16" s="60">
        <f>G17</f>
        <v>572.0608</v>
      </c>
      <c r="H16" s="60">
        <f t="shared" si="5"/>
        <v>0</v>
      </c>
      <c r="I16" s="83">
        <f t="shared" si="5"/>
        <v>572.0608</v>
      </c>
      <c r="J16" s="60">
        <f t="shared" si="5"/>
        <v>0</v>
      </c>
      <c r="K16" s="83">
        <f t="shared" si="5"/>
        <v>572.0608</v>
      </c>
      <c r="L16" s="83">
        <f t="shared" si="5"/>
        <v>0</v>
      </c>
      <c r="M16" s="83">
        <f t="shared" si="5"/>
        <v>572.0608</v>
      </c>
      <c r="N16" s="83">
        <f t="shared" si="5"/>
        <v>0</v>
      </c>
      <c r="O16" s="83">
        <f t="shared" si="5"/>
        <v>572.0608</v>
      </c>
      <c r="P16" s="83">
        <f t="shared" si="5"/>
        <v>0</v>
      </c>
      <c r="Q16" s="83">
        <f t="shared" si="5"/>
        <v>572.0608</v>
      </c>
      <c r="R16" s="83">
        <f t="shared" si="5"/>
        <v>0</v>
      </c>
      <c r="S16" s="207">
        <f t="shared" si="5"/>
        <v>572.0608</v>
      </c>
      <c r="T16" s="207">
        <f t="shared" si="5"/>
        <v>0</v>
      </c>
      <c r="U16" s="207">
        <f t="shared" si="5"/>
        <v>572.0608</v>
      </c>
      <c r="V16" s="207">
        <f t="shared" si="5"/>
        <v>0</v>
      </c>
      <c r="W16" s="207">
        <f t="shared" si="5"/>
        <v>572.0608</v>
      </c>
      <c r="X16" s="207">
        <f t="shared" si="6"/>
        <v>160.2</v>
      </c>
      <c r="Y16" s="234">
        <f t="shared" si="6"/>
        <v>732.2608</v>
      </c>
      <c r="Z16" s="234">
        <f t="shared" si="6"/>
        <v>0</v>
      </c>
      <c r="AA16" s="234">
        <f t="shared" si="6"/>
        <v>732.2608</v>
      </c>
      <c r="AB16" s="234">
        <f t="shared" si="6"/>
        <v>0</v>
      </c>
      <c r="AC16" s="234">
        <f t="shared" si="6"/>
        <v>732.2608</v>
      </c>
      <c r="AD16" s="234">
        <f t="shared" si="6"/>
        <v>0</v>
      </c>
      <c r="AE16" s="234">
        <f t="shared" si="6"/>
        <v>732.2608</v>
      </c>
    </row>
    <row r="17" spans="1:31" s="5" customFormat="1" ht="13.5" customHeight="1">
      <c r="A17" s="106" t="s">
        <v>29</v>
      </c>
      <c r="B17" s="48" t="s">
        <v>189</v>
      </c>
      <c r="C17" s="27" t="s">
        <v>1</v>
      </c>
      <c r="D17" s="27" t="s">
        <v>4</v>
      </c>
      <c r="E17" s="105" t="s">
        <v>50</v>
      </c>
      <c r="F17" s="105">
        <v>121</v>
      </c>
      <c r="G17" s="61">
        <v>572.0608</v>
      </c>
      <c r="H17" s="28"/>
      <c r="I17" s="71">
        <f>G17+H17</f>
        <v>572.0608</v>
      </c>
      <c r="J17" s="28"/>
      <c r="K17" s="71">
        <f>I17+J17</f>
        <v>572.0608</v>
      </c>
      <c r="L17" s="71"/>
      <c r="M17" s="71">
        <f>K17+L17</f>
        <v>572.0608</v>
      </c>
      <c r="N17" s="71"/>
      <c r="O17" s="71">
        <f>M17+N17</f>
        <v>572.0608</v>
      </c>
      <c r="P17" s="71"/>
      <c r="Q17" s="71">
        <f>O17+P17</f>
        <v>572.0608</v>
      </c>
      <c r="R17" s="71"/>
      <c r="S17" s="216">
        <f>Q17+R17</f>
        <v>572.0608</v>
      </c>
      <c r="T17" s="216"/>
      <c r="U17" s="216">
        <f>S17+T17</f>
        <v>572.0608</v>
      </c>
      <c r="V17" s="216"/>
      <c r="W17" s="216">
        <f>U17+V17</f>
        <v>572.0608</v>
      </c>
      <c r="X17" s="216">
        <f>123+37.2</f>
        <v>160.2</v>
      </c>
      <c r="Y17" s="235">
        <f>W17+X17</f>
        <v>732.2608</v>
      </c>
      <c r="Z17" s="235"/>
      <c r="AA17" s="235">
        <f>Y17+Z17</f>
        <v>732.2608</v>
      </c>
      <c r="AB17" s="235"/>
      <c r="AC17" s="235">
        <f>AA17+AB17</f>
        <v>732.2608</v>
      </c>
      <c r="AD17" s="235"/>
      <c r="AE17" s="235">
        <f>AC17+AD17</f>
        <v>732.2608</v>
      </c>
    </row>
    <row r="18" spans="1:31" s="38" customFormat="1" ht="54" customHeight="1">
      <c r="A18" s="36" t="s">
        <v>30</v>
      </c>
      <c r="B18" s="47" t="s">
        <v>189</v>
      </c>
      <c r="C18" s="37" t="s">
        <v>1</v>
      </c>
      <c r="D18" s="37" t="s">
        <v>3</v>
      </c>
      <c r="E18" s="37"/>
      <c r="F18" s="37"/>
      <c r="G18" s="58">
        <f aca="true" t="shared" si="7" ref="G18:V19">G19</f>
        <v>5901.099999999999</v>
      </c>
      <c r="H18" s="58">
        <f t="shared" si="7"/>
        <v>165</v>
      </c>
      <c r="I18" s="81">
        <f t="shared" si="7"/>
        <v>6066.099999999999</v>
      </c>
      <c r="J18" s="58">
        <f t="shared" si="7"/>
        <v>100</v>
      </c>
      <c r="K18" s="81">
        <f t="shared" si="7"/>
        <v>6166.099999999999</v>
      </c>
      <c r="L18" s="81">
        <f t="shared" si="7"/>
        <v>0</v>
      </c>
      <c r="M18" s="81">
        <f t="shared" si="7"/>
        <v>6166.099999999999</v>
      </c>
      <c r="N18" s="81">
        <f t="shared" si="7"/>
        <v>0</v>
      </c>
      <c r="O18" s="81">
        <f t="shared" si="7"/>
        <v>6166.099999999999</v>
      </c>
      <c r="P18" s="81">
        <f t="shared" si="7"/>
        <v>630</v>
      </c>
      <c r="Q18" s="81">
        <f t="shared" si="7"/>
        <v>6796.099999999999</v>
      </c>
      <c r="R18" s="81">
        <f t="shared" si="7"/>
        <v>95</v>
      </c>
      <c r="S18" s="205">
        <f t="shared" si="7"/>
        <v>6891.099999999999</v>
      </c>
      <c r="T18" s="205">
        <f t="shared" si="7"/>
        <v>0</v>
      </c>
      <c r="U18" s="205">
        <f t="shared" si="7"/>
        <v>6891.099999999999</v>
      </c>
      <c r="V18" s="205">
        <f t="shared" si="7"/>
        <v>1012.5</v>
      </c>
      <c r="W18" s="205">
        <f aca="true" t="shared" si="8" ref="W18:AE19">W19</f>
        <v>7903.599999999999</v>
      </c>
      <c r="X18" s="205">
        <f t="shared" si="8"/>
        <v>46.2</v>
      </c>
      <c r="Y18" s="232">
        <f t="shared" si="8"/>
        <v>7949.799999999999</v>
      </c>
      <c r="Z18" s="232">
        <f t="shared" si="8"/>
        <v>219.70000000000002</v>
      </c>
      <c r="AA18" s="232">
        <f t="shared" si="8"/>
        <v>8169.5</v>
      </c>
      <c r="AB18" s="232">
        <f t="shared" si="8"/>
        <v>486</v>
      </c>
      <c r="AC18" s="232">
        <f t="shared" si="8"/>
        <v>8655.499999999998</v>
      </c>
      <c r="AD18" s="232">
        <f t="shared" si="8"/>
        <v>0</v>
      </c>
      <c r="AE18" s="232">
        <f t="shared" si="8"/>
        <v>8655.499999999998</v>
      </c>
    </row>
    <row r="19" spans="1:31" s="5" customFormat="1" ht="54" customHeight="1">
      <c r="A19" s="26" t="s">
        <v>31</v>
      </c>
      <c r="B19" s="48" t="s">
        <v>189</v>
      </c>
      <c r="C19" s="27" t="s">
        <v>1</v>
      </c>
      <c r="D19" s="27" t="s">
        <v>3</v>
      </c>
      <c r="E19" s="27" t="s">
        <v>26</v>
      </c>
      <c r="F19" s="27"/>
      <c r="G19" s="60">
        <f t="shared" si="7"/>
        <v>5901.099999999999</v>
      </c>
      <c r="H19" s="60">
        <f t="shared" si="7"/>
        <v>165</v>
      </c>
      <c r="I19" s="83">
        <f t="shared" si="7"/>
        <v>6066.099999999999</v>
      </c>
      <c r="J19" s="60">
        <f t="shared" si="7"/>
        <v>100</v>
      </c>
      <c r="K19" s="83">
        <f t="shared" si="7"/>
        <v>6166.099999999999</v>
      </c>
      <c r="L19" s="83">
        <f t="shared" si="7"/>
        <v>0</v>
      </c>
      <c r="M19" s="83">
        <f t="shared" si="7"/>
        <v>6166.099999999999</v>
      </c>
      <c r="N19" s="83">
        <f t="shared" si="7"/>
        <v>0</v>
      </c>
      <c r="O19" s="83">
        <f t="shared" si="7"/>
        <v>6166.099999999999</v>
      </c>
      <c r="P19" s="83">
        <f t="shared" si="7"/>
        <v>630</v>
      </c>
      <c r="Q19" s="83">
        <f t="shared" si="7"/>
        <v>6796.099999999999</v>
      </c>
      <c r="R19" s="83">
        <f t="shared" si="7"/>
        <v>95</v>
      </c>
      <c r="S19" s="207">
        <f t="shared" si="7"/>
        <v>6891.099999999999</v>
      </c>
      <c r="T19" s="207">
        <f t="shared" si="7"/>
        <v>0</v>
      </c>
      <c r="U19" s="207">
        <f t="shared" si="7"/>
        <v>6891.099999999999</v>
      </c>
      <c r="V19" s="207">
        <f>V20</f>
        <v>1012.5</v>
      </c>
      <c r="W19" s="207">
        <f t="shared" si="8"/>
        <v>7903.599999999999</v>
      </c>
      <c r="X19" s="207">
        <f t="shared" si="8"/>
        <v>46.2</v>
      </c>
      <c r="Y19" s="234">
        <f t="shared" si="8"/>
        <v>7949.799999999999</v>
      </c>
      <c r="Z19" s="234">
        <f t="shared" si="8"/>
        <v>219.70000000000002</v>
      </c>
      <c r="AA19" s="234">
        <f t="shared" si="8"/>
        <v>8169.5</v>
      </c>
      <c r="AB19" s="234">
        <f t="shared" si="8"/>
        <v>486</v>
      </c>
      <c r="AC19" s="234">
        <f t="shared" si="8"/>
        <v>8655.499999999998</v>
      </c>
      <c r="AD19" s="234">
        <f t="shared" si="8"/>
        <v>0</v>
      </c>
      <c r="AE19" s="234">
        <f t="shared" si="8"/>
        <v>8655.499999999998</v>
      </c>
    </row>
    <row r="20" spans="1:31" s="5" customFormat="1" ht="13.5" customHeight="1">
      <c r="A20" s="26" t="s">
        <v>32</v>
      </c>
      <c r="B20" s="48" t="s">
        <v>189</v>
      </c>
      <c r="C20" s="27" t="s">
        <v>1</v>
      </c>
      <c r="D20" s="27" t="s">
        <v>3</v>
      </c>
      <c r="E20" s="27" t="s">
        <v>33</v>
      </c>
      <c r="F20" s="27"/>
      <c r="G20" s="60">
        <f aca="true" t="shared" si="9" ref="G20:M20">G21+G27</f>
        <v>5901.099999999999</v>
      </c>
      <c r="H20" s="60">
        <f t="shared" si="9"/>
        <v>165</v>
      </c>
      <c r="I20" s="83">
        <f t="shared" si="9"/>
        <v>6066.099999999999</v>
      </c>
      <c r="J20" s="60">
        <f t="shared" si="9"/>
        <v>100</v>
      </c>
      <c r="K20" s="83">
        <f t="shared" si="9"/>
        <v>6166.099999999999</v>
      </c>
      <c r="L20" s="83">
        <f t="shared" si="9"/>
        <v>0</v>
      </c>
      <c r="M20" s="83">
        <f t="shared" si="9"/>
        <v>6166.099999999999</v>
      </c>
      <c r="N20" s="83">
        <f aca="true" t="shared" si="10" ref="N20:S20">N21+N27</f>
        <v>0</v>
      </c>
      <c r="O20" s="83">
        <f t="shared" si="10"/>
        <v>6166.099999999999</v>
      </c>
      <c r="P20" s="83">
        <f t="shared" si="10"/>
        <v>630</v>
      </c>
      <c r="Q20" s="83">
        <f t="shared" si="10"/>
        <v>6796.099999999999</v>
      </c>
      <c r="R20" s="83">
        <f t="shared" si="10"/>
        <v>95</v>
      </c>
      <c r="S20" s="207">
        <f t="shared" si="10"/>
        <v>6891.099999999999</v>
      </c>
      <c r="T20" s="207">
        <f aca="true" t="shared" si="11" ref="T20:Y20">T21+T27</f>
        <v>0</v>
      </c>
      <c r="U20" s="207">
        <f t="shared" si="11"/>
        <v>6891.099999999999</v>
      </c>
      <c r="V20" s="207">
        <f t="shared" si="11"/>
        <v>1012.5</v>
      </c>
      <c r="W20" s="207">
        <f t="shared" si="11"/>
        <v>7903.599999999999</v>
      </c>
      <c r="X20" s="207">
        <f t="shared" si="11"/>
        <v>46.2</v>
      </c>
      <c r="Y20" s="234">
        <f t="shared" si="11"/>
        <v>7949.799999999999</v>
      </c>
      <c r="Z20" s="234">
        <f aca="true" t="shared" si="12" ref="Z20:AE20">Z21+Z27</f>
        <v>219.70000000000002</v>
      </c>
      <c r="AA20" s="234">
        <f t="shared" si="12"/>
        <v>8169.5</v>
      </c>
      <c r="AB20" s="234">
        <f t="shared" si="12"/>
        <v>486</v>
      </c>
      <c r="AC20" s="234">
        <f t="shared" si="12"/>
        <v>8655.499999999998</v>
      </c>
      <c r="AD20" s="234">
        <f t="shared" si="12"/>
        <v>0</v>
      </c>
      <c r="AE20" s="234">
        <f t="shared" si="12"/>
        <v>8655.499999999998</v>
      </c>
    </row>
    <row r="21" spans="1:31" s="5" customFormat="1" ht="27" customHeight="1">
      <c r="A21" s="26" t="s">
        <v>34</v>
      </c>
      <c r="B21" s="48" t="s">
        <v>189</v>
      </c>
      <c r="C21" s="27" t="s">
        <v>1</v>
      </c>
      <c r="D21" s="27" t="s">
        <v>3</v>
      </c>
      <c r="E21" s="27" t="s">
        <v>35</v>
      </c>
      <c r="F21" s="27"/>
      <c r="G21" s="61">
        <f aca="true" t="shared" si="13" ref="G21:M21">G22+G23+G24+G25+G26</f>
        <v>5900.099999999999</v>
      </c>
      <c r="H21" s="61">
        <f t="shared" si="13"/>
        <v>165</v>
      </c>
      <c r="I21" s="71">
        <f t="shared" si="13"/>
        <v>6065.099999999999</v>
      </c>
      <c r="J21" s="61">
        <f t="shared" si="13"/>
        <v>100</v>
      </c>
      <c r="K21" s="71">
        <f t="shared" si="13"/>
        <v>6165.099999999999</v>
      </c>
      <c r="L21" s="71">
        <f t="shared" si="13"/>
        <v>0</v>
      </c>
      <c r="M21" s="71">
        <f t="shared" si="13"/>
        <v>6165.099999999999</v>
      </c>
      <c r="N21" s="71">
        <f aca="true" t="shared" si="14" ref="N21:S21">N22+N23+N24+N25+N26</f>
        <v>0</v>
      </c>
      <c r="O21" s="71">
        <f t="shared" si="14"/>
        <v>6165.099999999999</v>
      </c>
      <c r="P21" s="71">
        <f t="shared" si="14"/>
        <v>630</v>
      </c>
      <c r="Q21" s="71">
        <f t="shared" si="14"/>
        <v>6795.099999999999</v>
      </c>
      <c r="R21" s="71">
        <f t="shared" si="14"/>
        <v>95</v>
      </c>
      <c r="S21" s="208">
        <f t="shared" si="14"/>
        <v>6890.099999999999</v>
      </c>
      <c r="T21" s="208">
        <f aca="true" t="shared" si="15" ref="T21:Y21">T22+T23+T24+T25+T26</f>
        <v>0</v>
      </c>
      <c r="U21" s="208">
        <f t="shared" si="15"/>
        <v>6890.099999999999</v>
      </c>
      <c r="V21" s="208">
        <f t="shared" si="15"/>
        <v>1012.5</v>
      </c>
      <c r="W21" s="208">
        <f t="shared" si="15"/>
        <v>7902.599999999999</v>
      </c>
      <c r="X21" s="208">
        <f t="shared" si="15"/>
        <v>46.2</v>
      </c>
      <c r="Y21" s="235">
        <f t="shared" si="15"/>
        <v>7948.799999999999</v>
      </c>
      <c r="Z21" s="235">
        <f aca="true" t="shared" si="16" ref="Z21:AE21">Z22+Z23+Z24+Z25+Z26</f>
        <v>219.70000000000002</v>
      </c>
      <c r="AA21" s="235">
        <f t="shared" si="16"/>
        <v>8168.5</v>
      </c>
      <c r="AB21" s="235">
        <f t="shared" si="16"/>
        <v>486</v>
      </c>
      <c r="AC21" s="235">
        <f t="shared" si="16"/>
        <v>8654.499999999998</v>
      </c>
      <c r="AD21" s="235">
        <f t="shared" si="16"/>
        <v>0</v>
      </c>
      <c r="AE21" s="235">
        <f t="shared" si="16"/>
        <v>8654.499999999998</v>
      </c>
    </row>
    <row r="22" spans="1:31" s="5" customFormat="1" ht="15.75">
      <c r="A22" s="26" t="s">
        <v>29</v>
      </c>
      <c r="B22" s="48" t="s">
        <v>189</v>
      </c>
      <c r="C22" s="27" t="s">
        <v>1</v>
      </c>
      <c r="D22" s="27" t="s">
        <v>3</v>
      </c>
      <c r="E22" s="27" t="s">
        <v>35</v>
      </c>
      <c r="F22" s="27" t="s">
        <v>36</v>
      </c>
      <c r="G22" s="60">
        <v>4547.4</v>
      </c>
      <c r="H22" s="28"/>
      <c r="I22" s="71">
        <f>G22+H22</f>
        <v>4547.4</v>
      </c>
      <c r="J22" s="28"/>
      <c r="K22" s="71">
        <f>I22+J22</f>
        <v>4547.4</v>
      </c>
      <c r="L22" s="71"/>
      <c r="M22" s="71">
        <f>K22+L22</f>
        <v>4547.4</v>
      </c>
      <c r="N22" s="71"/>
      <c r="O22" s="71">
        <f>M22+N22</f>
        <v>4547.4</v>
      </c>
      <c r="P22" s="71">
        <f>340+50</f>
        <v>390</v>
      </c>
      <c r="Q22" s="71">
        <f>O22+P22</f>
        <v>4937.4</v>
      </c>
      <c r="R22" s="71"/>
      <c r="S22" s="208">
        <f>Q22+R22</f>
        <v>4937.4</v>
      </c>
      <c r="T22" s="208"/>
      <c r="U22" s="208">
        <f>S22+T22</f>
        <v>4937.4</v>
      </c>
      <c r="V22" s="208">
        <f>592.5+150</f>
        <v>742.5</v>
      </c>
      <c r="W22" s="208">
        <f>U22+V22</f>
        <v>5679.9</v>
      </c>
      <c r="X22" s="208"/>
      <c r="Y22" s="235">
        <f>W22+X22</f>
        <v>5679.9</v>
      </c>
      <c r="Z22" s="235"/>
      <c r="AA22" s="235">
        <f>Y22+Z22</f>
        <v>5679.9</v>
      </c>
      <c r="AB22" s="235">
        <f>140+130</f>
        <v>270</v>
      </c>
      <c r="AC22" s="235">
        <f>AA22+AB22</f>
        <v>5949.9</v>
      </c>
      <c r="AD22" s="235"/>
      <c r="AE22" s="235">
        <f>AC22+AD22</f>
        <v>5949.9</v>
      </c>
    </row>
    <row r="23" spans="1:31" s="5" customFormat="1" ht="27" customHeight="1">
      <c r="A23" s="26" t="s">
        <v>37</v>
      </c>
      <c r="B23" s="48" t="s">
        <v>189</v>
      </c>
      <c r="C23" s="27" t="s">
        <v>1</v>
      </c>
      <c r="D23" s="27" t="s">
        <v>3</v>
      </c>
      <c r="E23" s="27" t="s">
        <v>35</v>
      </c>
      <c r="F23" s="27" t="s">
        <v>38</v>
      </c>
      <c r="G23" s="61">
        <v>10</v>
      </c>
      <c r="H23" s="28">
        <v>14</v>
      </c>
      <c r="I23" s="71">
        <f>G23+H23</f>
        <v>24</v>
      </c>
      <c r="J23" s="28"/>
      <c r="K23" s="71">
        <f>I23+J23</f>
        <v>24</v>
      </c>
      <c r="L23" s="71"/>
      <c r="M23" s="71">
        <f>K23+L23</f>
        <v>24</v>
      </c>
      <c r="N23" s="71"/>
      <c r="O23" s="71">
        <f>M23+N23</f>
        <v>24</v>
      </c>
      <c r="P23" s="71">
        <v>0</v>
      </c>
      <c r="Q23" s="71">
        <f>O23+P23</f>
        <v>24</v>
      </c>
      <c r="R23" s="71"/>
      <c r="S23" s="208">
        <f>Q23+R23</f>
        <v>24</v>
      </c>
      <c r="T23" s="208"/>
      <c r="U23" s="208">
        <f>S23+T23</f>
        <v>24</v>
      </c>
      <c r="V23" s="208"/>
      <c r="W23" s="208">
        <f>U23+V23</f>
        <v>24</v>
      </c>
      <c r="X23" s="208"/>
      <c r="Y23" s="235">
        <f>W23+X23</f>
        <v>24</v>
      </c>
      <c r="Z23" s="235"/>
      <c r="AA23" s="235">
        <f>Y23+Z23</f>
        <v>24</v>
      </c>
      <c r="AB23" s="235"/>
      <c r="AC23" s="235">
        <f>AA23+AB23</f>
        <v>24</v>
      </c>
      <c r="AD23" s="235"/>
      <c r="AE23" s="235">
        <f>AC23+AD23</f>
        <v>24</v>
      </c>
    </row>
    <row r="24" spans="1:31" s="5" customFormat="1" ht="25.5">
      <c r="A24" s="26" t="s">
        <v>39</v>
      </c>
      <c r="B24" s="48" t="s">
        <v>189</v>
      </c>
      <c r="C24" s="27" t="s">
        <v>1</v>
      </c>
      <c r="D24" s="27" t="s">
        <v>3</v>
      </c>
      <c r="E24" s="27" t="s">
        <v>35</v>
      </c>
      <c r="F24" s="27" t="s">
        <v>40</v>
      </c>
      <c r="G24" s="61">
        <v>93</v>
      </c>
      <c r="H24" s="28">
        <f>167.754</f>
        <v>167.754</v>
      </c>
      <c r="I24" s="71">
        <f>G24+H24</f>
        <v>260.754</v>
      </c>
      <c r="J24" s="28">
        <v>7</v>
      </c>
      <c r="K24" s="71">
        <f>I24+J24</f>
        <v>267.754</v>
      </c>
      <c r="L24" s="71"/>
      <c r="M24" s="71">
        <f>K24+L24</f>
        <v>267.754</v>
      </c>
      <c r="N24" s="71"/>
      <c r="O24" s="71">
        <f>M24+N24</f>
        <v>267.754</v>
      </c>
      <c r="P24" s="71">
        <f>20+50+30</f>
        <v>100</v>
      </c>
      <c r="Q24" s="71">
        <f>O24+P24</f>
        <v>367.754</v>
      </c>
      <c r="R24" s="71"/>
      <c r="S24" s="208">
        <f>Q24+R24</f>
        <v>367.754</v>
      </c>
      <c r="T24" s="208"/>
      <c r="U24" s="208">
        <f>S24+T24</f>
        <v>367.754</v>
      </c>
      <c r="V24" s="208">
        <v>10</v>
      </c>
      <c r="W24" s="208">
        <f>U24+V24</f>
        <v>377.754</v>
      </c>
      <c r="X24" s="208">
        <v>35</v>
      </c>
      <c r="Y24" s="235">
        <f>W24+X24</f>
        <v>412.754</v>
      </c>
      <c r="Z24" s="235"/>
      <c r="AA24" s="235">
        <f>Y24+Z24</f>
        <v>412.754</v>
      </c>
      <c r="AB24" s="235">
        <f>20+26+12+12</f>
        <v>70</v>
      </c>
      <c r="AC24" s="235">
        <f>AA24+AB24</f>
        <v>482.754</v>
      </c>
      <c r="AD24" s="235"/>
      <c r="AE24" s="235">
        <f>AC24+AD24</f>
        <v>482.754</v>
      </c>
    </row>
    <row r="25" spans="1:31" s="5" customFormat="1" ht="27" customHeight="1">
      <c r="A25" s="26" t="s">
        <v>183</v>
      </c>
      <c r="B25" s="48" t="s">
        <v>189</v>
      </c>
      <c r="C25" s="27" t="s">
        <v>1</v>
      </c>
      <c r="D25" s="27" t="s">
        <v>3</v>
      </c>
      <c r="E25" s="27" t="s">
        <v>35</v>
      </c>
      <c r="F25" s="27" t="s">
        <v>42</v>
      </c>
      <c r="G25" s="60">
        <v>1226.7</v>
      </c>
      <c r="H25" s="28">
        <f>-16.754</f>
        <v>-16.754</v>
      </c>
      <c r="I25" s="71">
        <f>G25+H25</f>
        <v>1209.9460000000001</v>
      </c>
      <c r="J25" s="28">
        <v>93</v>
      </c>
      <c r="K25" s="71">
        <f>I25+J25</f>
        <v>1302.9460000000001</v>
      </c>
      <c r="L25" s="71"/>
      <c r="M25" s="71">
        <f>K25+L25</f>
        <v>1302.9460000000001</v>
      </c>
      <c r="N25" s="71"/>
      <c r="O25" s="71">
        <f>M25+N25</f>
        <v>1302.9460000000001</v>
      </c>
      <c r="P25" s="71">
        <f>-1+33+50+57</f>
        <v>139</v>
      </c>
      <c r="Q25" s="71">
        <f>O25+P25</f>
        <v>1441.9460000000001</v>
      </c>
      <c r="R25" s="71">
        <v>95</v>
      </c>
      <c r="S25" s="208">
        <f>Q25+R25</f>
        <v>1536.9460000000001</v>
      </c>
      <c r="T25" s="208"/>
      <c r="U25" s="208">
        <f>S25+T25</f>
        <v>1536.9460000000001</v>
      </c>
      <c r="V25" s="208">
        <f>100+160</f>
        <v>260</v>
      </c>
      <c r="W25" s="208">
        <f>U25+V25</f>
        <v>1796.9460000000001</v>
      </c>
      <c r="X25" s="208">
        <v>11.2</v>
      </c>
      <c r="Y25" s="235">
        <f>W25+X25</f>
        <v>1808.1460000000002</v>
      </c>
      <c r="Z25" s="235">
        <f>-4+100+198.87+20-100.265-6+4</f>
        <v>212.60500000000002</v>
      </c>
      <c r="AA25" s="235">
        <f>Y25+Z25</f>
        <v>2020.7510000000002</v>
      </c>
      <c r="AB25" s="235">
        <f>50+120+8+2-34-8</f>
        <v>138</v>
      </c>
      <c r="AC25" s="235">
        <f>AA25+AB25</f>
        <v>2158.751</v>
      </c>
      <c r="AD25" s="235"/>
      <c r="AE25" s="235">
        <f>AC25+AD25</f>
        <v>2158.751</v>
      </c>
    </row>
    <row r="26" spans="1:31" s="5" customFormat="1" ht="13.5" customHeight="1">
      <c r="A26" s="26" t="s">
        <v>43</v>
      </c>
      <c r="B26" s="48" t="s">
        <v>189</v>
      </c>
      <c r="C26" s="27" t="s">
        <v>1</v>
      </c>
      <c r="D26" s="27" t="s">
        <v>3</v>
      </c>
      <c r="E26" s="27" t="s">
        <v>35</v>
      </c>
      <c r="F26" s="27" t="s">
        <v>44</v>
      </c>
      <c r="G26" s="60">
        <v>23</v>
      </c>
      <c r="H26" s="28"/>
      <c r="I26" s="71">
        <f>G26+H26</f>
        <v>23</v>
      </c>
      <c r="J26" s="28"/>
      <c r="K26" s="71">
        <f>I26+J26</f>
        <v>23</v>
      </c>
      <c r="L26" s="71"/>
      <c r="M26" s="71">
        <f>K26+L26</f>
        <v>23</v>
      </c>
      <c r="N26" s="71"/>
      <c r="O26" s="71">
        <f>M26+N26</f>
        <v>23</v>
      </c>
      <c r="P26" s="71">
        <v>1</v>
      </c>
      <c r="Q26" s="71">
        <f>O26+P26</f>
        <v>24</v>
      </c>
      <c r="R26" s="71"/>
      <c r="S26" s="208">
        <f>Q26+R26</f>
        <v>24</v>
      </c>
      <c r="T26" s="208"/>
      <c r="U26" s="208">
        <f>S26+T26</f>
        <v>24</v>
      </c>
      <c r="V26" s="208"/>
      <c r="W26" s="208">
        <f>U26+V26</f>
        <v>24</v>
      </c>
      <c r="X26" s="208"/>
      <c r="Y26" s="235">
        <f>W26+X26</f>
        <v>24</v>
      </c>
      <c r="Z26" s="235">
        <v>7.095</v>
      </c>
      <c r="AA26" s="235">
        <f>Y26+Z26</f>
        <v>31.095</v>
      </c>
      <c r="AB26" s="235">
        <f>8</f>
        <v>8</v>
      </c>
      <c r="AC26" s="235">
        <f>AA26+AB26</f>
        <v>39.095</v>
      </c>
      <c r="AD26" s="235"/>
      <c r="AE26" s="235">
        <f>AC26+AD26</f>
        <v>39.095</v>
      </c>
    </row>
    <row r="27" spans="1:31" s="5" customFormat="1" ht="43.5" customHeight="1">
      <c r="A27" s="52" t="s">
        <v>45</v>
      </c>
      <c r="B27" s="48" t="s">
        <v>189</v>
      </c>
      <c r="C27" s="27" t="s">
        <v>1</v>
      </c>
      <c r="D27" s="27" t="s">
        <v>3</v>
      </c>
      <c r="E27" s="27" t="s">
        <v>46</v>
      </c>
      <c r="F27" s="27"/>
      <c r="G27" s="60">
        <f aca="true" t="shared" si="17" ref="G27:AE27">G28</f>
        <v>1</v>
      </c>
      <c r="H27" s="60">
        <f t="shared" si="17"/>
        <v>0</v>
      </c>
      <c r="I27" s="83">
        <f t="shared" si="17"/>
        <v>1</v>
      </c>
      <c r="J27" s="60">
        <f t="shared" si="17"/>
        <v>0</v>
      </c>
      <c r="K27" s="83">
        <f t="shared" si="17"/>
        <v>1</v>
      </c>
      <c r="L27" s="83">
        <f t="shared" si="17"/>
        <v>0</v>
      </c>
      <c r="M27" s="83">
        <f t="shared" si="17"/>
        <v>1</v>
      </c>
      <c r="N27" s="83">
        <f t="shared" si="17"/>
        <v>0</v>
      </c>
      <c r="O27" s="83">
        <f t="shared" si="17"/>
        <v>1</v>
      </c>
      <c r="P27" s="83">
        <f t="shared" si="17"/>
        <v>0</v>
      </c>
      <c r="Q27" s="83">
        <f t="shared" si="17"/>
        <v>1</v>
      </c>
      <c r="R27" s="83">
        <f t="shared" si="17"/>
        <v>0</v>
      </c>
      <c r="S27" s="207">
        <f t="shared" si="17"/>
        <v>1</v>
      </c>
      <c r="T27" s="207">
        <f t="shared" si="17"/>
        <v>0</v>
      </c>
      <c r="U27" s="207">
        <f t="shared" si="17"/>
        <v>1</v>
      </c>
      <c r="V27" s="207">
        <f t="shared" si="17"/>
        <v>0</v>
      </c>
      <c r="W27" s="207">
        <f t="shared" si="17"/>
        <v>1</v>
      </c>
      <c r="X27" s="207">
        <f t="shared" si="17"/>
        <v>0</v>
      </c>
      <c r="Y27" s="234">
        <f t="shared" si="17"/>
        <v>1</v>
      </c>
      <c r="Z27" s="234">
        <f t="shared" si="17"/>
        <v>0</v>
      </c>
      <c r="AA27" s="234">
        <f t="shared" si="17"/>
        <v>1</v>
      </c>
      <c r="AB27" s="234">
        <f t="shared" si="17"/>
        <v>0</v>
      </c>
      <c r="AC27" s="234">
        <f t="shared" si="17"/>
        <v>1</v>
      </c>
      <c r="AD27" s="234">
        <f t="shared" si="17"/>
        <v>0</v>
      </c>
      <c r="AE27" s="234">
        <f t="shared" si="17"/>
        <v>1</v>
      </c>
    </row>
    <row r="28" spans="1:31" s="5" customFormat="1" ht="27" customHeight="1">
      <c r="A28" s="26" t="s">
        <v>183</v>
      </c>
      <c r="B28" s="48" t="s">
        <v>189</v>
      </c>
      <c r="C28" s="27" t="s">
        <v>1</v>
      </c>
      <c r="D28" s="27" t="s">
        <v>3</v>
      </c>
      <c r="E28" s="27" t="s">
        <v>46</v>
      </c>
      <c r="F28" s="27" t="s">
        <v>42</v>
      </c>
      <c r="G28" s="60">
        <v>1</v>
      </c>
      <c r="H28" s="28"/>
      <c r="I28" s="71">
        <f>G28+H28</f>
        <v>1</v>
      </c>
      <c r="J28" s="28"/>
      <c r="K28" s="71">
        <f>I28+J28</f>
        <v>1</v>
      </c>
      <c r="L28" s="71"/>
      <c r="M28" s="71">
        <f>K28+L28</f>
        <v>1</v>
      </c>
      <c r="N28" s="71"/>
      <c r="O28" s="71">
        <f>M28+N28</f>
        <v>1</v>
      </c>
      <c r="P28" s="71"/>
      <c r="Q28" s="71">
        <f>O28+P28</f>
        <v>1</v>
      </c>
      <c r="R28" s="71"/>
      <c r="S28" s="208">
        <f>Q28+R28</f>
        <v>1</v>
      </c>
      <c r="T28" s="208"/>
      <c r="U28" s="208">
        <f>S28+T28</f>
        <v>1</v>
      </c>
      <c r="V28" s="208"/>
      <c r="W28" s="208">
        <f>U28+V28</f>
        <v>1</v>
      </c>
      <c r="X28" s="208"/>
      <c r="Y28" s="235">
        <f>W28+X28</f>
        <v>1</v>
      </c>
      <c r="Z28" s="235"/>
      <c r="AA28" s="235">
        <f>Y28+Z28</f>
        <v>1</v>
      </c>
      <c r="AB28" s="235"/>
      <c r="AC28" s="235">
        <f>AA28+AB28</f>
        <v>1</v>
      </c>
      <c r="AD28" s="235"/>
      <c r="AE28" s="235">
        <f>AC28+AD28</f>
        <v>1</v>
      </c>
    </row>
    <row r="29" spans="1:31" s="33" customFormat="1" ht="15.75" customHeight="1">
      <c r="A29" s="32" t="s">
        <v>131</v>
      </c>
      <c r="B29" s="47" t="s">
        <v>189</v>
      </c>
      <c r="C29" s="34" t="s">
        <v>1</v>
      </c>
      <c r="D29" s="34" t="s">
        <v>132</v>
      </c>
      <c r="E29" s="34"/>
      <c r="F29" s="34"/>
      <c r="G29" s="59">
        <f aca="true" t="shared" si="18" ref="G29:AE29">G30</f>
        <v>26.9042</v>
      </c>
      <c r="H29" s="59">
        <f t="shared" si="18"/>
        <v>0</v>
      </c>
      <c r="I29" s="82">
        <f t="shared" si="18"/>
        <v>26.9042</v>
      </c>
      <c r="J29" s="59">
        <f t="shared" si="18"/>
        <v>0</v>
      </c>
      <c r="K29" s="82">
        <f t="shared" si="18"/>
        <v>26.9042</v>
      </c>
      <c r="L29" s="82">
        <f t="shared" si="18"/>
        <v>0</v>
      </c>
      <c r="M29" s="82">
        <f t="shared" si="18"/>
        <v>26.9042</v>
      </c>
      <c r="N29" s="82">
        <f t="shared" si="18"/>
        <v>0</v>
      </c>
      <c r="O29" s="82">
        <f t="shared" si="18"/>
        <v>26.9042</v>
      </c>
      <c r="P29" s="82">
        <f t="shared" si="18"/>
        <v>0</v>
      </c>
      <c r="Q29" s="82">
        <f t="shared" si="18"/>
        <v>26.9042</v>
      </c>
      <c r="R29" s="82">
        <f t="shared" si="18"/>
        <v>499.4098000000001</v>
      </c>
      <c r="S29" s="206">
        <f t="shared" si="18"/>
        <v>526.3140000000001</v>
      </c>
      <c r="T29" s="206">
        <f t="shared" si="18"/>
        <v>0</v>
      </c>
      <c r="U29" s="206">
        <f t="shared" si="18"/>
        <v>526.3140000000001</v>
      </c>
      <c r="V29" s="206">
        <f t="shared" si="18"/>
        <v>0</v>
      </c>
      <c r="W29" s="206">
        <f t="shared" si="18"/>
        <v>526.3140000000001</v>
      </c>
      <c r="X29" s="206">
        <f t="shared" si="18"/>
        <v>0</v>
      </c>
      <c r="Y29" s="233">
        <f t="shared" si="18"/>
        <v>526.3140000000001</v>
      </c>
      <c r="Z29" s="233">
        <f t="shared" si="18"/>
        <v>0</v>
      </c>
      <c r="AA29" s="233">
        <f t="shared" si="18"/>
        <v>526.3140000000001</v>
      </c>
      <c r="AB29" s="233">
        <f t="shared" si="18"/>
        <v>0</v>
      </c>
      <c r="AC29" s="233">
        <f t="shared" si="18"/>
        <v>526.3140000000001</v>
      </c>
      <c r="AD29" s="233">
        <f t="shared" si="18"/>
        <v>0</v>
      </c>
      <c r="AE29" s="233">
        <f t="shared" si="18"/>
        <v>526.3140000000001</v>
      </c>
    </row>
    <row r="30" spans="1:31" s="5" customFormat="1" ht="15.75">
      <c r="A30" s="26" t="s">
        <v>133</v>
      </c>
      <c r="B30" s="48" t="s">
        <v>189</v>
      </c>
      <c r="C30" s="27" t="s">
        <v>1</v>
      </c>
      <c r="D30" s="27" t="s">
        <v>132</v>
      </c>
      <c r="E30" s="27" t="s">
        <v>135</v>
      </c>
      <c r="F30" s="27"/>
      <c r="G30" s="60">
        <f aca="true" t="shared" si="19" ref="G30:M30">G31+G35</f>
        <v>26.9042</v>
      </c>
      <c r="H30" s="60">
        <f t="shared" si="19"/>
        <v>0</v>
      </c>
      <c r="I30" s="83">
        <f t="shared" si="19"/>
        <v>26.9042</v>
      </c>
      <c r="J30" s="60">
        <f t="shared" si="19"/>
        <v>0</v>
      </c>
      <c r="K30" s="83">
        <f t="shared" si="19"/>
        <v>26.9042</v>
      </c>
      <c r="L30" s="83">
        <f t="shared" si="19"/>
        <v>0</v>
      </c>
      <c r="M30" s="83">
        <f t="shared" si="19"/>
        <v>26.9042</v>
      </c>
      <c r="N30" s="83">
        <f aca="true" t="shared" si="20" ref="N30:S30">N31+N35</f>
        <v>0</v>
      </c>
      <c r="O30" s="83">
        <f t="shared" si="20"/>
        <v>26.9042</v>
      </c>
      <c r="P30" s="83">
        <f t="shared" si="20"/>
        <v>0</v>
      </c>
      <c r="Q30" s="83">
        <f t="shared" si="20"/>
        <v>26.9042</v>
      </c>
      <c r="R30" s="83">
        <f t="shared" si="20"/>
        <v>499.4098000000001</v>
      </c>
      <c r="S30" s="207">
        <f t="shared" si="20"/>
        <v>526.3140000000001</v>
      </c>
      <c r="T30" s="207">
        <f aca="true" t="shared" si="21" ref="T30:Y30">T31+T35</f>
        <v>0</v>
      </c>
      <c r="U30" s="207">
        <f t="shared" si="21"/>
        <v>526.3140000000001</v>
      </c>
      <c r="V30" s="207">
        <f t="shared" si="21"/>
        <v>0</v>
      </c>
      <c r="W30" s="207">
        <f t="shared" si="21"/>
        <v>526.3140000000001</v>
      </c>
      <c r="X30" s="207">
        <f t="shared" si="21"/>
        <v>0</v>
      </c>
      <c r="Y30" s="234">
        <f t="shared" si="21"/>
        <v>526.3140000000001</v>
      </c>
      <c r="Z30" s="234">
        <f aca="true" t="shared" si="22" ref="Z30:AE30">Z31+Z35</f>
        <v>0</v>
      </c>
      <c r="AA30" s="234">
        <f t="shared" si="22"/>
        <v>526.3140000000001</v>
      </c>
      <c r="AB30" s="234">
        <f t="shared" si="22"/>
        <v>0</v>
      </c>
      <c r="AC30" s="234">
        <f t="shared" si="22"/>
        <v>526.3140000000001</v>
      </c>
      <c r="AD30" s="234">
        <f t="shared" si="22"/>
        <v>0</v>
      </c>
      <c r="AE30" s="234">
        <f t="shared" si="22"/>
        <v>526.3140000000001</v>
      </c>
    </row>
    <row r="31" spans="1:31" s="5" customFormat="1" ht="15" customHeight="1" hidden="1">
      <c r="A31" s="26" t="s">
        <v>134</v>
      </c>
      <c r="B31" s="48" t="s">
        <v>189</v>
      </c>
      <c r="C31" s="27" t="s">
        <v>1</v>
      </c>
      <c r="D31" s="27" t="s">
        <v>132</v>
      </c>
      <c r="E31" s="27" t="s">
        <v>136</v>
      </c>
      <c r="F31" s="27"/>
      <c r="G31" s="60">
        <f aca="true" t="shared" si="23" ref="G31:M31">G33+G34+G32</f>
        <v>26.9042</v>
      </c>
      <c r="H31" s="60">
        <f t="shared" si="23"/>
        <v>0</v>
      </c>
      <c r="I31" s="83">
        <f t="shared" si="23"/>
        <v>26.9042</v>
      </c>
      <c r="J31" s="60">
        <f t="shared" si="23"/>
        <v>0</v>
      </c>
      <c r="K31" s="83">
        <f t="shared" si="23"/>
        <v>26.9042</v>
      </c>
      <c r="L31" s="83">
        <f t="shared" si="23"/>
        <v>0</v>
      </c>
      <c r="M31" s="83">
        <f t="shared" si="23"/>
        <v>26.9042</v>
      </c>
      <c r="N31" s="83">
        <f aca="true" t="shared" si="24" ref="N31:S31">N33+N34+N32</f>
        <v>0</v>
      </c>
      <c r="O31" s="83">
        <f t="shared" si="24"/>
        <v>26.9042</v>
      </c>
      <c r="P31" s="83">
        <f t="shared" si="24"/>
        <v>0</v>
      </c>
      <c r="Q31" s="83">
        <f t="shared" si="24"/>
        <v>26.9042</v>
      </c>
      <c r="R31" s="83">
        <f t="shared" si="24"/>
        <v>-26.9042</v>
      </c>
      <c r="S31" s="207">
        <f t="shared" si="24"/>
        <v>0</v>
      </c>
      <c r="T31" s="207">
        <f aca="true" t="shared" si="25" ref="T31:Y31">T33+T34+T32</f>
        <v>0</v>
      </c>
      <c r="U31" s="207">
        <f t="shared" si="25"/>
        <v>0</v>
      </c>
      <c r="V31" s="207">
        <f t="shared" si="25"/>
        <v>0</v>
      </c>
      <c r="W31" s="207">
        <f t="shared" si="25"/>
        <v>0</v>
      </c>
      <c r="X31" s="207">
        <f t="shared" si="25"/>
        <v>0</v>
      </c>
      <c r="Y31" s="234">
        <f t="shared" si="25"/>
        <v>0</v>
      </c>
      <c r="Z31" s="234">
        <f aca="true" t="shared" si="26" ref="Z31:AE31">Z33+Z34+Z32</f>
        <v>0</v>
      </c>
      <c r="AA31" s="234">
        <f t="shared" si="26"/>
        <v>0</v>
      </c>
      <c r="AB31" s="234">
        <f t="shared" si="26"/>
        <v>0</v>
      </c>
      <c r="AC31" s="234">
        <f t="shared" si="26"/>
        <v>0</v>
      </c>
      <c r="AD31" s="234">
        <f t="shared" si="26"/>
        <v>0</v>
      </c>
      <c r="AE31" s="234">
        <f t="shared" si="26"/>
        <v>0</v>
      </c>
    </row>
    <row r="32" spans="1:31" s="5" customFormat="1" ht="15" customHeight="1" hidden="1">
      <c r="A32" s="26" t="s">
        <v>29</v>
      </c>
      <c r="B32" s="48" t="s">
        <v>189</v>
      </c>
      <c r="C32" s="27" t="s">
        <v>1</v>
      </c>
      <c r="D32" s="27" t="s">
        <v>132</v>
      </c>
      <c r="E32" s="27" t="s">
        <v>136</v>
      </c>
      <c r="F32" s="27" t="s">
        <v>36</v>
      </c>
      <c r="G32" s="60">
        <v>0</v>
      </c>
      <c r="H32" s="28"/>
      <c r="I32" s="71">
        <f>G32+H32</f>
        <v>0</v>
      </c>
      <c r="J32" s="28"/>
      <c r="K32" s="71">
        <f>I32+J32</f>
        <v>0</v>
      </c>
      <c r="L32" s="71"/>
      <c r="M32" s="71">
        <f>K32+L32</f>
        <v>0</v>
      </c>
      <c r="N32" s="71"/>
      <c r="O32" s="71">
        <f aca="true" t="shared" si="27" ref="O32:Q33">M32+N32</f>
        <v>0</v>
      </c>
      <c r="P32" s="71">
        <f t="shared" si="27"/>
        <v>0</v>
      </c>
      <c r="Q32" s="71">
        <f t="shared" si="27"/>
        <v>0</v>
      </c>
      <c r="R32" s="71">
        <f aca="true" t="shared" si="28" ref="R32:U33">P32+Q32</f>
        <v>0</v>
      </c>
      <c r="S32" s="208">
        <f t="shared" si="28"/>
        <v>0</v>
      </c>
      <c r="T32" s="208">
        <f t="shared" si="28"/>
        <v>0</v>
      </c>
      <c r="U32" s="208">
        <f t="shared" si="28"/>
        <v>0</v>
      </c>
      <c r="V32" s="208">
        <f aca="true" t="shared" si="29" ref="V32:Y33">T32+U32</f>
        <v>0</v>
      </c>
      <c r="W32" s="208">
        <f t="shared" si="29"/>
        <v>0</v>
      </c>
      <c r="X32" s="208">
        <f t="shared" si="29"/>
        <v>0</v>
      </c>
      <c r="Y32" s="235">
        <f t="shared" si="29"/>
        <v>0</v>
      </c>
      <c r="Z32" s="235">
        <f aca="true" t="shared" si="30" ref="Z32:AA34">X32+Y32</f>
        <v>0</v>
      </c>
      <c r="AA32" s="235">
        <f t="shared" si="30"/>
        <v>0</v>
      </c>
      <c r="AB32" s="235">
        <f aca="true" t="shared" si="31" ref="AB32:AC34">Z32+AA32</f>
        <v>0</v>
      </c>
      <c r="AC32" s="235">
        <f t="shared" si="31"/>
        <v>0</v>
      </c>
      <c r="AD32" s="235">
        <f aca="true" t="shared" si="32" ref="AD32:AE34">AB32+AC32</f>
        <v>0</v>
      </c>
      <c r="AE32" s="235">
        <f t="shared" si="32"/>
        <v>0</v>
      </c>
    </row>
    <row r="33" spans="1:31" s="5" customFormat="1" ht="26.25" customHeight="1" hidden="1">
      <c r="A33" s="26" t="s">
        <v>39</v>
      </c>
      <c r="B33" s="48" t="s">
        <v>189</v>
      </c>
      <c r="C33" s="27" t="s">
        <v>1</v>
      </c>
      <c r="D33" s="27" t="s">
        <v>132</v>
      </c>
      <c r="E33" s="27" t="s">
        <v>136</v>
      </c>
      <c r="F33" s="27" t="s">
        <v>40</v>
      </c>
      <c r="G33" s="60">
        <v>0</v>
      </c>
      <c r="H33" s="28"/>
      <c r="I33" s="71">
        <f>G33+H33</f>
        <v>0</v>
      </c>
      <c r="J33" s="28"/>
      <c r="K33" s="71">
        <f>I33+J33</f>
        <v>0</v>
      </c>
      <c r="L33" s="71"/>
      <c r="M33" s="71">
        <f>K33+L33</f>
        <v>0</v>
      </c>
      <c r="N33" s="71"/>
      <c r="O33" s="71">
        <f t="shared" si="27"/>
        <v>0</v>
      </c>
      <c r="P33" s="71">
        <f t="shared" si="27"/>
        <v>0</v>
      </c>
      <c r="Q33" s="71">
        <f t="shared" si="27"/>
        <v>0</v>
      </c>
      <c r="R33" s="71">
        <f t="shared" si="28"/>
        <v>0</v>
      </c>
      <c r="S33" s="208">
        <f t="shared" si="28"/>
        <v>0</v>
      </c>
      <c r="T33" s="208">
        <f t="shared" si="28"/>
        <v>0</v>
      </c>
      <c r="U33" s="208">
        <f t="shared" si="28"/>
        <v>0</v>
      </c>
      <c r="V33" s="208">
        <f t="shared" si="29"/>
        <v>0</v>
      </c>
      <c r="W33" s="208">
        <f t="shared" si="29"/>
        <v>0</v>
      </c>
      <c r="X33" s="208">
        <f t="shared" si="29"/>
        <v>0</v>
      </c>
      <c r="Y33" s="235">
        <f t="shared" si="29"/>
        <v>0</v>
      </c>
      <c r="Z33" s="235">
        <f t="shared" si="30"/>
        <v>0</v>
      </c>
      <c r="AA33" s="235">
        <f t="shared" si="30"/>
        <v>0</v>
      </c>
      <c r="AB33" s="235">
        <f t="shared" si="31"/>
        <v>0</v>
      </c>
      <c r="AC33" s="235">
        <f t="shared" si="31"/>
        <v>0</v>
      </c>
      <c r="AD33" s="235">
        <f t="shared" si="32"/>
        <v>0</v>
      </c>
      <c r="AE33" s="235">
        <f t="shared" si="32"/>
        <v>0</v>
      </c>
    </row>
    <row r="34" spans="1:31" s="5" customFormat="1" ht="27" customHeight="1" hidden="1">
      <c r="A34" s="26" t="s">
        <v>184</v>
      </c>
      <c r="B34" s="48" t="s">
        <v>189</v>
      </c>
      <c r="C34" s="27" t="s">
        <v>1</v>
      </c>
      <c r="D34" s="27" t="s">
        <v>132</v>
      </c>
      <c r="E34" s="27" t="s">
        <v>136</v>
      </c>
      <c r="F34" s="27" t="s">
        <v>42</v>
      </c>
      <c r="G34" s="60">
        <v>26.9042</v>
      </c>
      <c r="H34" s="28"/>
      <c r="I34" s="71">
        <f>G34+H34</f>
        <v>26.9042</v>
      </c>
      <c r="J34" s="28"/>
      <c r="K34" s="71">
        <f>I34+J34</f>
        <v>26.9042</v>
      </c>
      <c r="L34" s="71"/>
      <c r="M34" s="71">
        <f>K34+L34</f>
        <v>26.9042</v>
      </c>
      <c r="N34" s="71"/>
      <c r="O34" s="71">
        <f>M34+N34</f>
        <v>26.9042</v>
      </c>
      <c r="P34" s="71"/>
      <c r="Q34" s="71">
        <f>O34+P34</f>
        <v>26.9042</v>
      </c>
      <c r="R34" s="203">
        <f>-26.9042</f>
        <v>-26.9042</v>
      </c>
      <c r="S34" s="208">
        <f>Q34+R34</f>
        <v>0</v>
      </c>
      <c r="T34" s="208"/>
      <c r="U34" s="208">
        <f>S34+T34</f>
        <v>0</v>
      </c>
      <c r="V34" s="208"/>
      <c r="W34" s="208">
        <f>U34+V34</f>
        <v>0</v>
      </c>
      <c r="X34" s="208">
        <f>V34+W34</f>
        <v>0</v>
      </c>
      <c r="Y34" s="235">
        <f>W34+X34</f>
        <v>0</v>
      </c>
      <c r="Z34" s="235">
        <f t="shared" si="30"/>
        <v>0</v>
      </c>
      <c r="AA34" s="235">
        <f t="shared" si="30"/>
        <v>0</v>
      </c>
      <c r="AB34" s="235">
        <f t="shared" si="31"/>
        <v>0</v>
      </c>
      <c r="AC34" s="235">
        <f t="shared" si="31"/>
        <v>0</v>
      </c>
      <c r="AD34" s="235">
        <f t="shared" si="32"/>
        <v>0</v>
      </c>
      <c r="AE34" s="235">
        <f t="shared" si="32"/>
        <v>0</v>
      </c>
    </row>
    <row r="35" spans="1:31" s="5" customFormat="1" ht="16.5" customHeight="1">
      <c r="A35" s="26" t="s">
        <v>185</v>
      </c>
      <c r="B35" s="48" t="s">
        <v>189</v>
      </c>
      <c r="C35" s="27" t="s">
        <v>1</v>
      </c>
      <c r="D35" s="27" t="s">
        <v>132</v>
      </c>
      <c r="E35" s="27" t="s">
        <v>186</v>
      </c>
      <c r="F35" s="27"/>
      <c r="G35" s="60">
        <f aca="true" t="shared" si="33" ref="G35:P35">G36</f>
        <v>0</v>
      </c>
      <c r="H35" s="60">
        <f t="shared" si="33"/>
        <v>0</v>
      </c>
      <c r="I35" s="83">
        <f t="shared" si="33"/>
        <v>0</v>
      </c>
      <c r="J35" s="60">
        <f t="shared" si="33"/>
        <v>0</v>
      </c>
      <c r="K35" s="83">
        <f t="shared" si="33"/>
        <v>0</v>
      </c>
      <c r="L35" s="83">
        <f t="shared" si="33"/>
        <v>0</v>
      </c>
      <c r="M35" s="83">
        <f t="shared" si="33"/>
        <v>0</v>
      </c>
      <c r="N35" s="83">
        <f t="shared" si="33"/>
        <v>0</v>
      </c>
      <c r="O35" s="83">
        <f t="shared" si="33"/>
        <v>0</v>
      </c>
      <c r="P35" s="83">
        <f t="shared" si="33"/>
        <v>0</v>
      </c>
      <c r="Q35" s="83">
        <f aca="true" t="shared" si="34" ref="Q35:W35">Q36+Q37</f>
        <v>0</v>
      </c>
      <c r="R35" s="83">
        <f t="shared" si="34"/>
        <v>526.3140000000001</v>
      </c>
      <c r="S35" s="207">
        <f t="shared" si="34"/>
        <v>526.3140000000001</v>
      </c>
      <c r="T35" s="207">
        <f t="shared" si="34"/>
        <v>0</v>
      </c>
      <c r="U35" s="207">
        <f t="shared" si="34"/>
        <v>526.3140000000001</v>
      </c>
      <c r="V35" s="207">
        <f t="shared" si="34"/>
        <v>0</v>
      </c>
      <c r="W35" s="207">
        <f t="shared" si="34"/>
        <v>526.3140000000001</v>
      </c>
      <c r="X35" s="207">
        <f aca="true" t="shared" si="35" ref="X35:AC35">X36+X37</f>
        <v>0</v>
      </c>
      <c r="Y35" s="234">
        <f t="shared" si="35"/>
        <v>526.3140000000001</v>
      </c>
      <c r="Z35" s="234">
        <f t="shared" si="35"/>
        <v>0</v>
      </c>
      <c r="AA35" s="234">
        <f t="shared" si="35"/>
        <v>526.3140000000001</v>
      </c>
      <c r="AB35" s="234">
        <f t="shared" si="35"/>
        <v>0</v>
      </c>
      <c r="AC35" s="234">
        <f t="shared" si="35"/>
        <v>526.3140000000001</v>
      </c>
      <c r="AD35" s="234">
        <f>AD36+AD37</f>
        <v>0</v>
      </c>
      <c r="AE35" s="234">
        <f>AE36+AE37</f>
        <v>526.3140000000001</v>
      </c>
    </row>
    <row r="36" spans="1:31" s="5" customFormat="1" ht="14.25" customHeight="1" hidden="1">
      <c r="A36" s="26" t="s">
        <v>29</v>
      </c>
      <c r="B36" s="48" t="s">
        <v>189</v>
      </c>
      <c r="C36" s="27" t="s">
        <v>1</v>
      </c>
      <c r="D36" s="27" t="s">
        <v>132</v>
      </c>
      <c r="E36" s="27" t="s">
        <v>186</v>
      </c>
      <c r="F36" s="27" t="s">
        <v>36</v>
      </c>
      <c r="G36" s="60">
        <v>0</v>
      </c>
      <c r="H36" s="28"/>
      <c r="I36" s="71">
        <f>G36+H36</f>
        <v>0</v>
      </c>
      <c r="J36" s="28"/>
      <c r="K36" s="71">
        <f>I36+J36</f>
        <v>0</v>
      </c>
      <c r="L36" s="71"/>
      <c r="M36" s="71">
        <f>K36+L36</f>
        <v>0</v>
      </c>
      <c r="N36" s="71"/>
      <c r="O36" s="71">
        <f>M36+N36</f>
        <v>0</v>
      </c>
      <c r="P36" s="71">
        <f>N36+O36</f>
        <v>0</v>
      </c>
      <c r="Q36" s="71"/>
      <c r="R36" s="71">
        <v>0</v>
      </c>
      <c r="S36" s="208">
        <f aca="true" t="shared" si="36" ref="S36:Y36">Q36+R36</f>
        <v>0</v>
      </c>
      <c r="T36" s="208">
        <f t="shared" si="36"/>
        <v>0</v>
      </c>
      <c r="U36" s="208">
        <f t="shared" si="36"/>
        <v>0</v>
      </c>
      <c r="V36" s="208">
        <f t="shared" si="36"/>
        <v>0</v>
      </c>
      <c r="W36" s="208">
        <f t="shared" si="36"/>
        <v>0</v>
      </c>
      <c r="X36" s="208">
        <f t="shared" si="36"/>
        <v>0</v>
      </c>
      <c r="Y36" s="235">
        <f t="shared" si="36"/>
        <v>0</v>
      </c>
      <c r="Z36" s="235">
        <f aca="true" t="shared" si="37" ref="Z36:AE36">X36+Y36</f>
        <v>0</v>
      </c>
      <c r="AA36" s="235">
        <f t="shared" si="37"/>
        <v>0</v>
      </c>
      <c r="AB36" s="235">
        <f t="shared" si="37"/>
        <v>0</v>
      </c>
      <c r="AC36" s="235">
        <f t="shared" si="37"/>
        <v>0</v>
      </c>
      <c r="AD36" s="235">
        <f t="shared" si="37"/>
        <v>0</v>
      </c>
      <c r="AE36" s="235">
        <f t="shared" si="37"/>
        <v>0</v>
      </c>
    </row>
    <row r="37" spans="1:31" s="5" customFormat="1" ht="14.25" customHeight="1">
      <c r="A37" s="26"/>
      <c r="B37" s="48" t="s">
        <v>189</v>
      </c>
      <c r="C37" s="27" t="s">
        <v>1</v>
      </c>
      <c r="D37" s="27" t="s">
        <v>132</v>
      </c>
      <c r="E37" s="27" t="s">
        <v>186</v>
      </c>
      <c r="F37" s="27" t="s">
        <v>42</v>
      </c>
      <c r="G37" s="60"/>
      <c r="H37" s="28"/>
      <c r="I37" s="71"/>
      <c r="J37" s="28"/>
      <c r="K37" s="71"/>
      <c r="L37" s="71"/>
      <c r="M37" s="71"/>
      <c r="N37" s="71"/>
      <c r="O37" s="71"/>
      <c r="P37" s="71"/>
      <c r="Q37" s="71"/>
      <c r="R37" s="71">
        <f>499.41+26.904</f>
        <v>526.3140000000001</v>
      </c>
      <c r="S37" s="208">
        <f>Q37+R37</f>
        <v>526.3140000000001</v>
      </c>
      <c r="T37" s="208"/>
      <c r="U37" s="208">
        <f>S37+T37</f>
        <v>526.3140000000001</v>
      </c>
      <c r="V37" s="208"/>
      <c r="W37" s="208">
        <f>U37+V37</f>
        <v>526.3140000000001</v>
      </c>
      <c r="X37" s="208"/>
      <c r="Y37" s="235">
        <f>W37+X37</f>
        <v>526.3140000000001</v>
      </c>
      <c r="Z37" s="235"/>
      <c r="AA37" s="235">
        <f>Y37+Z37</f>
        <v>526.3140000000001</v>
      </c>
      <c r="AB37" s="235"/>
      <c r="AC37" s="235">
        <f>AA37+AB37</f>
        <v>526.3140000000001</v>
      </c>
      <c r="AD37" s="235"/>
      <c r="AE37" s="235">
        <f>AC37+AD37</f>
        <v>526.3140000000001</v>
      </c>
    </row>
    <row r="38" spans="1:31" s="5" customFormat="1" ht="14.25" customHeight="1">
      <c r="A38" s="26" t="s">
        <v>362</v>
      </c>
      <c r="B38" s="253" t="s">
        <v>189</v>
      </c>
      <c r="C38" s="97" t="s">
        <v>1</v>
      </c>
      <c r="D38" s="97" t="s">
        <v>109</v>
      </c>
      <c r="E38" s="97"/>
      <c r="F38" s="97"/>
      <c r="G38" s="60"/>
      <c r="H38" s="28"/>
      <c r="I38" s="71"/>
      <c r="J38" s="28"/>
      <c r="K38" s="71"/>
      <c r="L38" s="71"/>
      <c r="M38" s="71"/>
      <c r="N38" s="71"/>
      <c r="O38" s="71"/>
      <c r="P38" s="71"/>
      <c r="Q38" s="71"/>
      <c r="R38" s="71"/>
      <c r="S38" s="208"/>
      <c r="T38" s="208"/>
      <c r="U38" s="208"/>
      <c r="V38" s="208"/>
      <c r="W38" s="208"/>
      <c r="X38" s="208"/>
      <c r="Y38" s="235"/>
      <c r="Z38" s="235"/>
      <c r="AA38" s="235">
        <f aca="true" t="shared" si="38" ref="AA38:AE39">AA39</f>
        <v>0</v>
      </c>
      <c r="AB38" s="235">
        <f t="shared" si="38"/>
        <v>3867.5</v>
      </c>
      <c r="AC38" s="235">
        <f t="shared" si="38"/>
        <v>3867.5</v>
      </c>
      <c r="AD38" s="235">
        <f t="shared" si="38"/>
        <v>298.8</v>
      </c>
      <c r="AE38" s="235">
        <f t="shared" si="38"/>
        <v>4166.3</v>
      </c>
    </row>
    <row r="39" spans="1:31" s="5" customFormat="1" ht="14.25" customHeight="1">
      <c r="A39" s="26" t="s">
        <v>379</v>
      </c>
      <c r="B39" s="253" t="s">
        <v>189</v>
      </c>
      <c r="C39" s="97" t="s">
        <v>1</v>
      </c>
      <c r="D39" s="97" t="s">
        <v>109</v>
      </c>
      <c r="E39" s="97" t="s">
        <v>380</v>
      </c>
      <c r="F39" s="97"/>
      <c r="G39" s="60"/>
      <c r="H39" s="28"/>
      <c r="I39" s="71"/>
      <c r="J39" s="28"/>
      <c r="K39" s="71"/>
      <c r="L39" s="71"/>
      <c r="M39" s="71"/>
      <c r="N39" s="71"/>
      <c r="O39" s="71"/>
      <c r="P39" s="71"/>
      <c r="Q39" s="71"/>
      <c r="R39" s="71"/>
      <c r="S39" s="208"/>
      <c r="T39" s="208"/>
      <c r="U39" s="208"/>
      <c r="V39" s="208"/>
      <c r="W39" s="208"/>
      <c r="X39" s="208"/>
      <c r="Y39" s="235"/>
      <c r="Z39" s="235"/>
      <c r="AA39" s="235">
        <f t="shared" si="38"/>
        <v>0</v>
      </c>
      <c r="AB39" s="235">
        <f t="shared" si="38"/>
        <v>3867.5</v>
      </c>
      <c r="AC39" s="235">
        <f t="shared" si="38"/>
        <v>3867.5</v>
      </c>
      <c r="AD39" s="235">
        <f t="shared" si="38"/>
        <v>298.8</v>
      </c>
      <c r="AE39" s="235">
        <f t="shared" si="38"/>
        <v>4166.3</v>
      </c>
    </row>
    <row r="40" spans="1:31" s="5" customFormat="1" ht="14.25" customHeight="1">
      <c r="A40" s="26" t="s">
        <v>381</v>
      </c>
      <c r="B40" s="253" t="s">
        <v>189</v>
      </c>
      <c r="C40" s="97" t="s">
        <v>1</v>
      </c>
      <c r="D40" s="97" t="s">
        <v>109</v>
      </c>
      <c r="E40" s="97" t="s">
        <v>380</v>
      </c>
      <c r="F40" s="97" t="s">
        <v>382</v>
      </c>
      <c r="G40" s="60"/>
      <c r="H40" s="28"/>
      <c r="I40" s="71"/>
      <c r="J40" s="28"/>
      <c r="K40" s="71"/>
      <c r="L40" s="71"/>
      <c r="M40" s="71"/>
      <c r="N40" s="71"/>
      <c r="O40" s="71"/>
      <c r="P40" s="71"/>
      <c r="Q40" s="71"/>
      <c r="R40" s="71"/>
      <c r="S40" s="208"/>
      <c r="T40" s="208"/>
      <c r="U40" s="208"/>
      <c r="V40" s="208"/>
      <c r="W40" s="208"/>
      <c r="X40" s="208"/>
      <c r="Y40" s="235"/>
      <c r="Z40" s="235"/>
      <c r="AA40" s="235"/>
      <c r="AB40" s="235">
        <v>3867.5</v>
      </c>
      <c r="AC40" s="235">
        <f>AA40+AB40</f>
        <v>3867.5</v>
      </c>
      <c r="AD40" s="235">
        <v>298.8</v>
      </c>
      <c r="AE40" s="235">
        <f>AC40+AD40</f>
        <v>4166.3</v>
      </c>
    </row>
    <row r="41" spans="1:31" s="39" customFormat="1" ht="15.75">
      <c r="A41" s="32" t="s">
        <v>51</v>
      </c>
      <c r="B41" s="53" t="s">
        <v>189</v>
      </c>
      <c r="C41" s="107" t="s">
        <v>1</v>
      </c>
      <c r="D41" s="107" t="s">
        <v>20</v>
      </c>
      <c r="E41" s="107"/>
      <c r="F41" s="107"/>
      <c r="G41" s="90">
        <f aca="true" t="shared" si="39" ref="G41:V42">G42</f>
        <v>53.1</v>
      </c>
      <c r="H41" s="90">
        <f t="shared" si="39"/>
        <v>0</v>
      </c>
      <c r="I41" s="89">
        <f aca="true" t="shared" si="40" ref="I41:O41">I42+I48</f>
        <v>53.1</v>
      </c>
      <c r="J41" s="89">
        <f t="shared" si="40"/>
        <v>300</v>
      </c>
      <c r="K41" s="89">
        <f t="shared" si="40"/>
        <v>353.1</v>
      </c>
      <c r="L41" s="89">
        <f t="shared" si="40"/>
        <v>0</v>
      </c>
      <c r="M41" s="89">
        <f t="shared" si="40"/>
        <v>353.1</v>
      </c>
      <c r="N41" s="89">
        <f t="shared" si="40"/>
        <v>0</v>
      </c>
      <c r="O41" s="89">
        <f t="shared" si="40"/>
        <v>353.1</v>
      </c>
      <c r="P41" s="89">
        <f aca="true" t="shared" si="41" ref="P41:U41">P42+P48</f>
        <v>0</v>
      </c>
      <c r="Q41" s="89">
        <f t="shared" si="41"/>
        <v>353.1</v>
      </c>
      <c r="R41" s="89">
        <f t="shared" si="41"/>
        <v>0</v>
      </c>
      <c r="S41" s="209">
        <f t="shared" si="41"/>
        <v>353.1</v>
      </c>
      <c r="T41" s="209">
        <f t="shared" si="41"/>
        <v>0</v>
      </c>
      <c r="U41" s="209">
        <f t="shared" si="41"/>
        <v>353.1</v>
      </c>
      <c r="V41" s="209">
        <f>V42+V48</f>
        <v>0</v>
      </c>
      <c r="W41" s="209">
        <f>W42+W48</f>
        <v>353.1</v>
      </c>
      <c r="X41" s="209">
        <f>X42+X48</f>
        <v>0</v>
      </c>
      <c r="Y41" s="236">
        <f aca="true" t="shared" si="42" ref="Y41:AE41">Y42+Y48+Y51</f>
        <v>353.1</v>
      </c>
      <c r="Z41" s="236">
        <f t="shared" si="42"/>
        <v>14.5</v>
      </c>
      <c r="AA41" s="236">
        <f t="shared" si="42"/>
        <v>367.6</v>
      </c>
      <c r="AB41" s="236">
        <f t="shared" si="42"/>
        <v>3</v>
      </c>
      <c r="AC41" s="236">
        <f t="shared" si="42"/>
        <v>370.6</v>
      </c>
      <c r="AD41" s="236">
        <f t="shared" si="42"/>
        <v>0</v>
      </c>
      <c r="AE41" s="236">
        <f t="shared" si="42"/>
        <v>370.6</v>
      </c>
    </row>
    <row r="42" spans="1:31" ht="42.75" customHeight="1">
      <c r="A42" s="26" t="s">
        <v>52</v>
      </c>
      <c r="B42" s="48" t="s">
        <v>189</v>
      </c>
      <c r="C42" s="51" t="s">
        <v>1</v>
      </c>
      <c r="D42" s="51" t="s">
        <v>20</v>
      </c>
      <c r="E42" s="51" t="s">
        <v>54</v>
      </c>
      <c r="F42" s="51"/>
      <c r="G42" s="61">
        <f t="shared" si="39"/>
        <v>53.1</v>
      </c>
      <c r="H42" s="61">
        <f t="shared" si="39"/>
        <v>0</v>
      </c>
      <c r="I42" s="71">
        <f t="shared" si="39"/>
        <v>53.1</v>
      </c>
      <c r="J42" s="61">
        <f t="shared" si="39"/>
        <v>0</v>
      </c>
      <c r="K42" s="71">
        <f t="shared" si="39"/>
        <v>53.1</v>
      </c>
      <c r="L42" s="71">
        <f t="shared" si="39"/>
        <v>0</v>
      </c>
      <c r="M42" s="71">
        <f t="shared" si="39"/>
        <v>53.1</v>
      </c>
      <c r="N42" s="71">
        <f t="shared" si="39"/>
        <v>0</v>
      </c>
      <c r="O42" s="71">
        <f t="shared" si="39"/>
        <v>53.1</v>
      </c>
      <c r="P42" s="71">
        <f t="shared" si="39"/>
        <v>0</v>
      </c>
      <c r="Q42" s="71">
        <f t="shared" si="39"/>
        <v>53.1</v>
      </c>
      <c r="R42" s="71">
        <f t="shared" si="39"/>
        <v>0</v>
      </c>
      <c r="S42" s="208">
        <f t="shared" si="39"/>
        <v>53.1</v>
      </c>
      <c r="T42" s="208">
        <f t="shared" si="39"/>
        <v>0</v>
      </c>
      <c r="U42" s="208">
        <f t="shared" si="39"/>
        <v>53.1</v>
      </c>
      <c r="V42" s="208">
        <f t="shared" si="39"/>
        <v>0</v>
      </c>
      <c r="W42" s="208">
        <f aca="true" t="shared" si="43" ref="W42:AE42">W43</f>
        <v>53.1</v>
      </c>
      <c r="X42" s="208">
        <f t="shared" si="43"/>
        <v>0</v>
      </c>
      <c r="Y42" s="235">
        <f t="shared" si="43"/>
        <v>53.1</v>
      </c>
      <c r="Z42" s="235">
        <f t="shared" si="43"/>
        <v>0</v>
      </c>
      <c r="AA42" s="235">
        <f t="shared" si="43"/>
        <v>53.1</v>
      </c>
      <c r="AB42" s="235">
        <f t="shared" si="43"/>
        <v>3</v>
      </c>
      <c r="AC42" s="235">
        <f t="shared" si="43"/>
        <v>56.1</v>
      </c>
      <c r="AD42" s="235">
        <f t="shared" si="43"/>
        <v>0</v>
      </c>
      <c r="AE42" s="235">
        <f t="shared" si="43"/>
        <v>56.1</v>
      </c>
    </row>
    <row r="43" spans="1:31" ht="15.75" customHeight="1">
      <c r="A43" s="49" t="s">
        <v>53</v>
      </c>
      <c r="B43" s="48" t="s">
        <v>189</v>
      </c>
      <c r="C43" s="51" t="s">
        <v>1</v>
      </c>
      <c r="D43" s="51" t="s">
        <v>20</v>
      </c>
      <c r="E43" s="51" t="s">
        <v>55</v>
      </c>
      <c r="F43" s="51"/>
      <c r="G43" s="61">
        <f aca="true" t="shared" si="44" ref="G43:M43">G44+G46+G47+G45</f>
        <v>53.1</v>
      </c>
      <c r="H43" s="61">
        <f t="shared" si="44"/>
        <v>0</v>
      </c>
      <c r="I43" s="71">
        <f t="shared" si="44"/>
        <v>53.1</v>
      </c>
      <c r="J43" s="61">
        <f t="shared" si="44"/>
        <v>0</v>
      </c>
      <c r="K43" s="71">
        <f t="shared" si="44"/>
        <v>53.1</v>
      </c>
      <c r="L43" s="71">
        <f t="shared" si="44"/>
        <v>0</v>
      </c>
      <c r="M43" s="71">
        <f t="shared" si="44"/>
        <v>53.1</v>
      </c>
      <c r="N43" s="71">
        <f aca="true" t="shared" si="45" ref="N43:S43">N44+N46+N47+N45</f>
        <v>0</v>
      </c>
      <c r="O43" s="71">
        <f t="shared" si="45"/>
        <v>53.1</v>
      </c>
      <c r="P43" s="71">
        <f t="shared" si="45"/>
        <v>0</v>
      </c>
      <c r="Q43" s="71">
        <f t="shared" si="45"/>
        <v>53.1</v>
      </c>
      <c r="R43" s="71">
        <f t="shared" si="45"/>
        <v>0</v>
      </c>
      <c r="S43" s="208">
        <f t="shared" si="45"/>
        <v>53.1</v>
      </c>
      <c r="T43" s="208">
        <f aca="true" t="shared" si="46" ref="T43:Y43">T44+T46+T47+T45</f>
        <v>0</v>
      </c>
      <c r="U43" s="208">
        <f t="shared" si="46"/>
        <v>53.1</v>
      </c>
      <c r="V43" s="208">
        <f t="shared" si="46"/>
        <v>0</v>
      </c>
      <c r="W43" s="208">
        <f t="shared" si="46"/>
        <v>53.1</v>
      </c>
      <c r="X43" s="208">
        <f t="shared" si="46"/>
        <v>0</v>
      </c>
      <c r="Y43" s="235">
        <f t="shared" si="46"/>
        <v>53.1</v>
      </c>
      <c r="Z43" s="235">
        <f aca="true" t="shared" si="47" ref="Z43:AE43">Z44+Z46+Z47+Z45</f>
        <v>0</v>
      </c>
      <c r="AA43" s="235">
        <f t="shared" si="47"/>
        <v>53.1</v>
      </c>
      <c r="AB43" s="235">
        <f t="shared" si="47"/>
        <v>3</v>
      </c>
      <c r="AC43" s="235">
        <f t="shared" si="47"/>
        <v>56.1</v>
      </c>
      <c r="AD43" s="235">
        <f t="shared" si="47"/>
        <v>0</v>
      </c>
      <c r="AE43" s="235">
        <f t="shared" si="47"/>
        <v>56.1</v>
      </c>
    </row>
    <row r="44" spans="1:31" s="5" customFormat="1" ht="15.75">
      <c r="A44" s="26" t="s">
        <v>29</v>
      </c>
      <c r="B44" s="48" t="s">
        <v>189</v>
      </c>
      <c r="C44" s="51" t="s">
        <v>1</v>
      </c>
      <c r="D44" s="51" t="s">
        <v>20</v>
      </c>
      <c r="E44" s="27" t="s">
        <v>55</v>
      </c>
      <c r="F44" s="27" t="s">
        <v>36</v>
      </c>
      <c r="G44" s="60">
        <v>40</v>
      </c>
      <c r="H44" s="28">
        <f>7</f>
        <v>7</v>
      </c>
      <c r="I44" s="71">
        <f>G44+H44</f>
        <v>47</v>
      </c>
      <c r="J44" s="28"/>
      <c r="K44" s="71">
        <f>I44+J44</f>
        <v>47</v>
      </c>
      <c r="L44" s="71"/>
      <c r="M44" s="71">
        <f>K44+L44</f>
        <v>47</v>
      </c>
      <c r="N44" s="71"/>
      <c r="O44" s="71">
        <f>M44+N44</f>
        <v>47</v>
      </c>
      <c r="P44" s="71"/>
      <c r="Q44" s="71">
        <f>O44+P44</f>
        <v>47</v>
      </c>
      <c r="R44" s="71"/>
      <c r="S44" s="208">
        <f>Q44+R44</f>
        <v>47</v>
      </c>
      <c r="T44" s="208"/>
      <c r="U44" s="208">
        <f>S44+T44</f>
        <v>47</v>
      </c>
      <c r="V44" s="208"/>
      <c r="W44" s="208">
        <f>U44+V44</f>
        <v>47</v>
      </c>
      <c r="X44" s="208"/>
      <c r="Y44" s="235">
        <f>W44+X44</f>
        <v>47</v>
      </c>
      <c r="Z44" s="235"/>
      <c r="AA44" s="235">
        <f>Y44+Z44</f>
        <v>47</v>
      </c>
      <c r="AB44" s="235">
        <f>-2.04075+0.5577</f>
        <v>-1.48305</v>
      </c>
      <c r="AC44" s="235">
        <f>AA44+AB44</f>
        <v>45.51695</v>
      </c>
      <c r="AD44" s="235"/>
      <c r="AE44" s="235">
        <f>AC44+AD44</f>
        <v>45.51695</v>
      </c>
    </row>
    <row r="45" spans="1:31" s="5" customFormat="1" ht="27" customHeight="1">
      <c r="A45" s="26" t="s">
        <v>37</v>
      </c>
      <c r="B45" s="48" t="s">
        <v>189</v>
      </c>
      <c r="C45" s="27" t="s">
        <v>1</v>
      </c>
      <c r="D45" s="27" t="s">
        <v>20</v>
      </c>
      <c r="E45" s="27" t="s">
        <v>55</v>
      </c>
      <c r="F45" s="27" t="s">
        <v>38</v>
      </c>
      <c r="G45" s="60"/>
      <c r="H45" s="28">
        <f>1.2</f>
        <v>1.2</v>
      </c>
      <c r="I45" s="71">
        <f>G45+H45</f>
        <v>1.2</v>
      </c>
      <c r="J45" s="28"/>
      <c r="K45" s="71">
        <f>I45+J45</f>
        <v>1.2</v>
      </c>
      <c r="L45" s="71"/>
      <c r="M45" s="71">
        <f>K45+L45</f>
        <v>1.2</v>
      </c>
      <c r="N45" s="71"/>
      <c r="O45" s="71">
        <f>M45+N45</f>
        <v>1.2</v>
      </c>
      <c r="P45" s="71"/>
      <c r="Q45" s="71">
        <f>O45+P45</f>
        <v>1.2</v>
      </c>
      <c r="R45" s="71"/>
      <c r="S45" s="208">
        <f>Q45+R45</f>
        <v>1.2</v>
      </c>
      <c r="T45" s="208"/>
      <c r="U45" s="208">
        <f>S45+T45</f>
        <v>1.2</v>
      </c>
      <c r="V45" s="208"/>
      <c r="W45" s="208">
        <f>U45+V45</f>
        <v>1.2</v>
      </c>
      <c r="X45" s="208"/>
      <c r="Y45" s="235">
        <f>W45+X45</f>
        <v>1.2</v>
      </c>
      <c r="Z45" s="235"/>
      <c r="AA45" s="235">
        <f>Y45+Z45</f>
        <v>1.2</v>
      </c>
      <c r="AB45" s="235">
        <v>-0.5</v>
      </c>
      <c r="AC45" s="235">
        <f>AA45+AB45</f>
        <v>0.7</v>
      </c>
      <c r="AD45" s="235"/>
      <c r="AE45" s="235">
        <f>AC45+AD45</f>
        <v>0.7</v>
      </c>
    </row>
    <row r="46" spans="1:31" s="5" customFormat="1" ht="25.5">
      <c r="A46" s="26" t="s">
        <v>39</v>
      </c>
      <c r="B46" s="48" t="s">
        <v>189</v>
      </c>
      <c r="C46" s="51" t="s">
        <v>1</v>
      </c>
      <c r="D46" s="51" t="s">
        <v>20</v>
      </c>
      <c r="E46" s="27" t="s">
        <v>55</v>
      </c>
      <c r="F46" s="27" t="s">
        <v>40</v>
      </c>
      <c r="G46" s="61">
        <v>2.5</v>
      </c>
      <c r="H46" s="28">
        <v>-2.5</v>
      </c>
      <c r="I46" s="71">
        <f>G46+H46</f>
        <v>0</v>
      </c>
      <c r="J46" s="28">
        <v>1.698</v>
      </c>
      <c r="K46" s="71">
        <f>I46+J46</f>
        <v>1.698</v>
      </c>
      <c r="L46" s="71"/>
      <c r="M46" s="71">
        <f>K46+L46</f>
        <v>1.698</v>
      </c>
      <c r="N46" s="71"/>
      <c r="O46" s="71">
        <f>M46+N46</f>
        <v>1.698</v>
      </c>
      <c r="P46" s="71"/>
      <c r="Q46" s="71">
        <f>O46+P46</f>
        <v>1.698</v>
      </c>
      <c r="R46" s="71"/>
      <c r="S46" s="208">
        <f>Q46+R46</f>
        <v>1.698</v>
      </c>
      <c r="T46" s="208"/>
      <c r="U46" s="208">
        <f>S46+T46</f>
        <v>1.698</v>
      </c>
      <c r="V46" s="208"/>
      <c r="W46" s="208">
        <f>U46+V46</f>
        <v>1.698</v>
      </c>
      <c r="X46" s="208"/>
      <c r="Y46" s="235">
        <f>W46+X46</f>
        <v>1.698</v>
      </c>
      <c r="Z46" s="235"/>
      <c r="AA46" s="235">
        <f>Y46+Z46</f>
        <v>1.698</v>
      </c>
      <c r="AB46" s="235">
        <f>0.98+0.39</f>
        <v>1.37</v>
      </c>
      <c r="AC46" s="235">
        <f>AA46+AB46</f>
        <v>3.068</v>
      </c>
      <c r="AD46" s="235"/>
      <c r="AE46" s="235">
        <f>AC46+AD46</f>
        <v>3.068</v>
      </c>
    </row>
    <row r="47" spans="1:31" s="5" customFormat="1" ht="26.25" customHeight="1">
      <c r="A47" s="26" t="s">
        <v>183</v>
      </c>
      <c r="B47" s="48" t="s">
        <v>189</v>
      </c>
      <c r="C47" s="51" t="s">
        <v>1</v>
      </c>
      <c r="D47" s="51" t="s">
        <v>20</v>
      </c>
      <c r="E47" s="27" t="s">
        <v>55</v>
      </c>
      <c r="F47" s="27" t="s">
        <v>42</v>
      </c>
      <c r="G47" s="60">
        <v>10.6</v>
      </c>
      <c r="H47" s="28">
        <f>-5.7</f>
        <v>-5.7</v>
      </c>
      <c r="I47" s="71">
        <f>G47+H47</f>
        <v>4.8999999999999995</v>
      </c>
      <c r="J47" s="28">
        <v>-1.698</v>
      </c>
      <c r="K47" s="71">
        <f>I47+J47</f>
        <v>3.2019999999999995</v>
      </c>
      <c r="L47" s="71"/>
      <c r="M47" s="71">
        <f>K47+L47</f>
        <v>3.2019999999999995</v>
      </c>
      <c r="N47" s="71"/>
      <c r="O47" s="71">
        <f>M47+N47</f>
        <v>3.2019999999999995</v>
      </c>
      <c r="P47" s="71"/>
      <c r="Q47" s="71">
        <f>O47+P47</f>
        <v>3.2019999999999995</v>
      </c>
      <c r="R47" s="71"/>
      <c r="S47" s="208">
        <f>Q47+R47</f>
        <v>3.2019999999999995</v>
      </c>
      <c r="T47" s="208"/>
      <c r="U47" s="208">
        <f>S47+T47</f>
        <v>3.2019999999999995</v>
      </c>
      <c r="V47" s="208"/>
      <c r="W47" s="208">
        <f>U47+V47</f>
        <v>3.2019999999999995</v>
      </c>
      <c r="X47" s="208"/>
      <c r="Y47" s="235">
        <f>W47+X47</f>
        <v>3.2019999999999995</v>
      </c>
      <c r="Z47" s="235"/>
      <c r="AA47" s="235">
        <f>Y47+Z47</f>
        <v>3.2019999999999995</v>
      </c>
      <c r="AB47" s="235">
        <f>0.61305+0.091+2.909</f>
        <v>3.61305</v>
      </c>
      <c r="AC47" s="235">
        <f>AA47+AB47</f>
        <v>6.815049999999999</v>
      </c>
      <c r="AD47" s="235"/>
      <c r="AE47" s="235">
        <f>AC47+AD47</f>
        <v>6.815049999999999</v>
      </c>
    </row>
    <row r="48" spans="1:31" s="5" customFormat="1" ht="38.25">
      <c r="A48" s="26" t="s">
        <v>205</v>
      </c>
      <c r="B48" s="48" t="s">
        <v>189</v>
      </c>
      <c r="C48" s="108" t="s">
        <v>1</v>
      </c>
      <c r="D48" s="108" t="s">
        <v>20</v>
      </c>
      <c r="E48" s="97" t="s">
        <v>208</v>
      </c>
      <c r="F48" s="97"/>
      <c r="G48" s="60"/>
      <c r="H48" s="28"/>
      <c r="I48" s="98">
        <f aca="true" t="shared" si="48" ref="I48:K49">I49</f>
        <v>0</v>
      </c>
      <c r="J48" s="98">
        <f t="shared" si="48"/>
        <v>300</v>
      </c>
      <c r="K48" s="98">
        <f t="shared" si="48"/>
        <v>300</v>
      </c>
      <c r="L48" s="98">
        <f aca="true" t="shared" si="49" ref="L48:O49">L49</f>
        <v>0</v>
      </c>
      <c r="M48" s="98">
        <f t="shared" si="49"/>
        <v>300</v>
      </c>
      <c r="N48" s="98">
        <f t="shared" si="49"/>
        <v>0</v>
      </c>
      <c r="O48" s="98">
        <f t="shared" si="49"/>
        <v>300</v>
      </c>
      <c r="P48" s="98">
        <f aca="true" t="shared" si="50" ref="P48:AE49">P49</f>
        <v>0</v>
      </c>
      <c r="Q48" s="98">
        <f t="shared" si="50"/>
        <v>300</v>
      </c>
      <c r="R48" s="98">
        <f t="shared" si="50"/>
        <v>0</v>
      </c>
      <c r="S48" s="208">
        <f t="shared" si="50"/>
        <v>300</v>
      </c>
      <c r="T48" s="208">
        <f t="shared" si="50"/>
        <v>0</v>
      </c>
      <c r="U48" s="208">
        <f t="shared" si="50"/>
        <v>300</v>
      </c>
      <c r="V48" s="208">
        <f t="shared" si="50"/>
        <v>0</v>
      </c>
      <c r="W48" s="208">
        <f t="shared" si="50"/>
        <v>300</v>
      </c>
      <c r="X48" s="208">
        <f t="shared" si="50"/>
        <v>0</v>
      </c>
      <c r="Y48" s="235">
        <f t="shared" si="50"/>
        <v>300</v>
      </c>
      <c r="Z48" s="235">
        <f t="shared" si="50"/>
        <v>0</v>
      </c>
      <c r="AA48" s="235">
        <f t="shared" si="50"/>
        <v>300</v>
      </c>
      <c r="AB48" s="235">
        <f t="shared" si="50"/>
        <v>0</v>
      </c>
      <c r="AC48" s="235">
        <f t="shared" si="50"/>
        <v>300</v>
      </c>
      <c r="AD48" s="235">
        <f t="shared" si="50"/>
        <v>0</v>
      </c>
      <c r="AE48" s="235">
        <f t="shared" si="50"/>
        <v>300</v>
      </c>
    </row>
    <row r="49" spans="1:31" s="5" customFormat="1" ht="25.5">
      <c r="A49" s="26" t="s">
        <v>206</v>
      </c>
      <c r="B49" s="48" t="s">
        <v>189</v>
      </c>
      <c r="C49" s="108" t="s">
        <v>1</v>
      </c>
      <c r="D49" s="108" t="s">
        <v>20</v>
      </c>
      <c r="E49" s="97" t="s">
        <v>209</v>
      </c>
      <c r="F49" s="97"/>
      <c r="G49" s="60"/>
      <c r="H49" s="28"/>
      <c r="I49" s="98">
        <f t="shared" si="48"/>
        <v>0</v>
      </c>
      <c r="J49" s="98">
        <f t="shared" si="48"/>
        <v>300</v>
      </c>
      <c r="K49" s="98">
        <f t="shared" si="48"/>
        <v>300</v>
      </c>
      <c r="L49" s="98">
        <f t="shared" si="49"/>
        <v>0</v>
      </c>
      <c r="M49" s="98">
        <f t="shared" si="49"/>
        <v>300</v>
      </c>
      <c r="N49" s="98">
        <f t="shared" si="49"/>
        <v>0</v>
      </c>
      <c r="O49" s="98">
        <f t="shared" si="49"/>
        <v>300</v>
      </c>
      <c r="P49" s="98">
        <f t="shared" si="50"/>
        <v>0</v>
      </c>
      <c r="Q49" s="98">
        <f t="shared" si="50"/>
        <v>300</v>
      </c>
      <c r="R49" s="98">
        <f t="shared" si="50"/>
        <v>0</v>
      </c>
      <c r="S49" s="208">
        <f t="shared" si="50"/>
        <v>300</v>
      </c>
      <c r="T49" s="208">
        <f t="shared" si="50"/>
        <v>0</v>
      </c>
      <c r="U49" s="208">
        <f t="shared" si="50"/>
        <v>300</v>
      </c>
      <c r="V49" s="208">
        <f t="shared" si="50"/>
        <v>0</v>
      </c>
      <c r="W49" s="208">
        <f t="shared" si="50"/>
        <v>300</v>
      </c>
      <c r="X49" s="208">
        <f t="shared" si="50"/>
        <v>0</v>
      </c>
      <c r="Y49" s="235">
        <f t="shared" si="50"/>
        <v>300</v>
      </c>
      <c r="Z49" s="235">
        <f t="shared" si="50"/>
        <v>0</v>
      </c>
      <c r="AA49" s="235">
        <f t="shared" si="50"/>
        <v>300</v>
      </c>
      <c r="AB49" s="235">
        <f t="shared" si="50"/>
        <v>0</v>
      </c>
      <c r="AC49" s="235">
        <f t="shared" si="50"/>
        <v>300</v>
      </c>
      <c r="AD49" s="235">
        <f t="shared" si="50"/>
        <v>0</v>
      </c>
      <c r="AE49" s="235">
        <f t="shared" si="50"/>
        <v>300</v>
      </c>
    </row>
    <row r="50" spans="1:31" s="5" customFormat="1" ht="25.5">
      <c r="A50" s="26" t="s">
        <v>207</v>
      </c>
      <c r="B50" s="48" t="s">
        <v>189</v>
      </c>
      <c r="C50" s="108" t="s">
        <v>1</v>
      </c>
      <c r="D50" s="108" t="s">
        <v>20</v>
      </c>
      <c r="E50" s="97" t="s">
        <v>209</v>
      </c>
      <c r="F50" s="97" t="s">
        <v>42</v>
      </c>
      <c r="G50" s="60"/>
      <c r="H50" s="28"/>
      <c r="I50" s="98"/>
      <c r="J50" s="99">
        <v>300</v>
      </c>
      <c r="K50" s="98">
        <f>I50+J50</f>
        <v>300</v>
      </c>
      <c r="L50" s="98"/>
      <c r="M50" s="98">
        <f>K50+L50</f>
        <v>300</v>
      </c>
      <c r="N50" s="98"/>
      <c r="O50" s="98">
        <f>M50+N50</f>
        <v>300</v>
      </c>
      <c r="P50" s="98"/>
      <c r="Q50" s="98">
        <f>O50+P50</f>
        <v>300</v>
      </c>
      <c r="R50" s="98"/>
      <c r="S50" s="208">
        <f>Q50+R50</f>
        <v>300</v>
      </c>
      <c r="T50" s="208"/>
      <c r="U50" s="208">
        <f>S50+T50</f>
        <v>300</v>
      </c>
      <c r="V50" s="208"/>
      <c r="W50" s="208">
        <f>U50+V50</f>
        <v>300</v>
      </c>
      <c r="X50" s="208"/>
      <c r="Y50" s="235">
        <f>W50+X50</f>
        <v>300</v>
      </c>
      <c r="Z50" s="235"/>
      <c r="AA50" s="235">
        <f>Y50+Z50</f>
        <v>300</v>
      </c>
      <c r="AB50" s="235"/>
      <c r="AC50" s="235">
        <f>AA50+AB50</f>
        <v>300</v>
      </c>
      <c r="AD50" s="235"/>
      <c r="AE50" s="235">
        <f>AC50+AD50</f>
        <v>300</v>
      </c>
    </row>
    <row r="51" spans="1:31" s="5" customFormat="1" ht="51">
      <c r="A51" s="26" t="s">
        <v>360</v>
      </c>
      <c r="B51" s="27" t="s">
        <v>189</v>
      </c>
      <c r="C51" s="51" t="s">
        <v>1</v>
      </c>
      <c r="D51" s="51" t="s">
        <v>20</v>
      </c>
      <c r="E51" s="27" t="s">
        <v>361</v>
      </c>
      <c r="F51" s="27"/>
      <c r="G51" s="60"/>
      <c r="H51" s="28"/>
      <c r="I51" s="98"/>
      <c r="J51" s="99"/>
      <c r="K51" s="98"/>
      <c r="L51" s="98"/>
      <c r="M51" s="98"/>
      <c r="N51" s="98"/>
      <c r="O51" s="98"/>
      <c r="P51" s="98"/>
      <c r="Q51" s="98"/>
      <c r="R51" s="98"/>
      <c r="S51" s="208"/>
      <c r="T51" s="208"/>
      <c r="U51" s="208"/>
      <c r="V51" s="208"/>
      <c r="W51" s="208"/>
      <c r="X51" s="208"/>
      <c r="Y51" s="235">
        <f>Y53</f>
        <v>0</v>
      </c>
      <c r="Z51" s="235">
        <f>Z53</f>
        <v>14.5</v>
      </c>
      <c r="AA51" s="235">
        <f>AA53+AA52</f>
        <v>14.5</v>
      </c>
      <c r="AB51" s="235">
        <f>AB53+AB52</f>
        <v>0</v>
      </c>
      <c r="AC51" s="235">
        <f>AC53+AC52</f>
        <v>14.5</v>
      </c>
      <c r="AD51" s="235">
        <f>AD53+AD52</f>
        <v>0</v>
      </c>
      <c r="AE51" s="235">
        <f>AE53+AE52</f>
        <v>14.5</v>
      </c>
    </row>
    <row r="52" spans="1:31" s="5" customFormat="1" ht="15.75">
      <c r="A52" s="26"/>
      <c r="B52" s="27" t="s">
        <v>189</v>
      </c>
      <c r="C52" s="51" t="s">
        <v>1</v>
      </c>
      <c r="D52" s="51" t="s">
        <v>20</v>
      </c>
      <c r="E52" s="27" t="s">
        <v>361</v>
      </c>
      <c r="F52" s="27" t="s">
        <v>40</v>
      </c>
      <c r="G52" s="60"/>
      <c r="H52" s="28"/>
      <c r="I52" s="98"/>
      <c r="J52" s="99"/>
      <c r="K52" s="98"/>
      <c r="L52" s="98"/>
      <c r="M52" s="98"/>
      <c r="N52" s="98"/>
      <c r="O52" s="98"/>
      <c r="P52" s="98"/>
      <c r="Q52" s="98"/>
      <c r="R52" s="98"/>
      <c r="S52" s="208"/>
      <c r="T52" s="208"/>
      <c r="U52" s="208"/>
      <c r="V52" s="208"/>
      <c r="W52" s="208"/>
      <c r="X52" s="208"/>
      <c r="Y52" s="235"/>
      <c r="Z52" s="235"/>
      <c r="AA52" s="235"/>
      <c r="AB52" s="235">
        <f>1.47+12.815</f>
        <v>14.285</v>
      </c>
      <c r="AC52" s="235">
        <f>AA52+AB52</f>
        <v>14.285</v>
      </c>
      <c r="AD52" s="235"/>
      <c r="AE52" s="235">
        <f>AC52+AD52</f>
        <v>14.285</v>
      </c>
    </row>
    <row r="53" spans="1:31" s="5" customFormat="1" ht="25.5">
      <c r="A53" s="26" t="s">
        <v>207</v>
      </c>
      <c r="B53" s="27" t="s">
        <v>189</v>
      </c>
      <c r="C53" s="51" t="s">
        <v>1</v>
      </c>
      <c r="D53" s="51" t="s">
        <v>20</v>
      </c>
      <c r="E53" s="27" t="s">
        <v>361</v>
      </c>
      <c r="F53" s="27" t="s">
        <v>42</v>
      </c>
      <c r="G53" s="60"/>
      <c r="H53" s="28"/>
      <c r="I53" s="98"/>
      <c r="J53" s="99"/>
      <c r="K53" s="98"/>
      <c r="L53" s="98"/>
      <c r="M53" s="98"/>
      <c r="N53" s="98"/>
      <c r="O53" s="98"/>
      <c r="P53" s="98"/>
      <c r="Q53" s="98"/>
      <c r="R53" s="98"/>
      <c r="S53" s="208"/>
      <c r="T53" s="208"/>
      <c r="U53" s="208"/>
      <c r="V53" s="208"/>
      <c r="W53" s="208"/>
      <c r="X53" s="208"/>
      <c r="Y53" s="235"/>
      <c r="Z53" s="235">
        <v>14.5</v>
      </c>
      <c r="AA53" s="235">
        <f>Y53+Z53</f>
        <v>14.5</v>
      </c>
      <c r="AB53" s="235">
        <v>-14.285</v>
      </c>
      <c r="AC53" s="235">
        <f>AA53+AB53</f>
        <v>0.21499999999999986</v>
      </c>
      <c r="AD53" s="235"/>
      <c r="AE53" s="235">
        <f>AC53+AD53</f>
        <v>0.21499999999999986</v>
      </c>
    </row>
    <row r="54" spans="1:31" s="5" customFormat="1" ht="15.75" hidden="1">
      <c r="A54" s="26"/>
      <c r="B54" s="48"/>
      <c r="C54" s="108"/>
      <c r="D54" s="108"/>
      <c r="E54" s="97"/>
      <c r="F54" s="97"/>
      <c r="G54" s="60"/>
      <c r="H54" s="28"/>
      <c r="I54" s="98"/>
      <c r="J54" s="99"/>
      <c r="K54" s="98"/>
      <c r="L54" s="98"/>
      <c r="M54" s="98"/>
      <c r="N54" s="98"/>
      <c r="O54" s="98"/>
      <c r="P54" s="98"/>
      <c r="Q54" s="98"/>
      <c r="R54" s="98"/>
      <c r="S54" s="208"/>
      <c r="T54" s="208"/>
      <c r="U54" s="208"/>
      <c r="V54" s="208"/>
      <c r="W54" s="208"/>
      <c r="X54" s="208"/>
      <c r="Y54" s="235"/>
      <c r="Z54" s="235"/>
      <c r="AA54" s="235"/>
      <c r="AB54" s="235"/>
      <c r="AC54" s="235"/>
      <c r="AD54" s="235"/>
      <c r="AE54" s="235"/>
    </row>
    <row r="55" spans="1:31" s="39" customFormat="1" ht="15.75">
      <c r="A55" s="109" t="s">
        <v>56</v>
      </c>
      <c r="B55" s="53" t="s">
        <v>189</v>
      </c>
      <c r="C55" s="107" t="s">
        <v>2</v>
      </c>
      <c r="D55" s="107"/>
      <c r="E55" s="107"/>
      <c r="F55" s="107"/>
      <c r="G55" s="90">
        <f>G56</f>
        <v>221</v>
      </c>
      <c r="H55" s="90">
        <f aca="true" t="shared" si="51" ref="H55:X57">H56</f>
        <v>8.5</v>
      </c>
      <c r="I55" s="89">
        <f t="shared" si="51"/>
        <v>229.5</v>
      </c>
      <c r="J55" s="90">
        <f t="shared" si="51"/>
        <v>0</v>
      </c>
      <c r="K55" s="89">
        <f t="shared" si="51"/>
        <v>229.5</v>
      </c>
      <c r="L55" s="89">
        <f t="shared" si="51"/>
        <v>0</v>
      </c>
      <c r="M55" s="89">
        <f t="shared" si="51"/>
        <v>229.5</v>
      </c>
      <c r="N55" s="89">
        <f t="shared" si="51"/>
        <v>0</v>
      </c>
      <c r="O55" s="89">
        <f t="shared" si="51"/>
        <v>229.5</v>
      </c>
      <c r="P55" s="89">
        <f t="shared" si="51"/>
        <v>0</v>
      </c>
      <c r="Q55" s="89">
        <f t="shared" si="51"/>
        <v>229.5</v>
      </c>
      <c r="R55" s="89">
        <f t="shared" si="51"/>
        <v>0</v>
      </c>
      <c r="S55" s="209">
        <f t="shared" si="51"/>
        <v>229.5</v>
      </c>
      <c r="T55" s="209">
        <f t="shared" si="51"/>
        <v>0</v>
      </c>
      <c r="U55" s="209">
        <f t="shared" si="51"/>
        <v>229.5</v>
      </c>
      <c r="V55" s="209">
        <f t="shared" si="51"/>
        <v>0</v>
      </c>
      <c r="W55" s="209">
        <f t="shared" si="51"/>
        <v>229.5</v>
      </c>
      <c r="X55" s="209">
        <f t="shared" si="51"/>
        <v>0</v>
      </c>
      <c r="Y55" s="236">
        <f aca="true" t="shared" si="52" ref="X55:AE57">Y56</f>
        <v>229.5</v>
      </c>
      <c r="Z55" s="236">
        <f t="shared" si="52"/>
        <v>0</v>
      </c>
      <c r="AA55" s="236">
        <f t="shared" si="52"/>
        <v>229.5</v>
      </c>
      <c r="AB55" s="236">
        <f t="shared" si="52"/>
        <v>0</v>
      </c>
      <c r="AC55" s="236">
        <f t="shared" si="52"/>
        <v>229.5</v>
      </c>
      <c r="AD55" s="236">
        <f t="shared" si="52"/>
        <v>0</v>
      </c>
      <c r="AE55" s="236">
        <f t="shared" si="52"/>
        <v>229.5</v>
      </c>
    </row>
    <row r="56" spans="1:31" s="39" customFormat="1" ht="15.75">
      <c r="A56" s="109" t="s">
        <v>57</v>
      </c>
      <c r="B56" s="53" t="s">
        <v>189</v>
      </c>
      <c r="C56" s="107" t="s">
        <v>2</v>
      </c>
      <c r="D56" s="107" t="s">
        <v>4</v>
      </c>
      <c r="E56" s="107"/>
      <c r="F56" s="107"/>
      <c r="G56" s="90">
        <f>G57</f>
        <v>221</v>
      </c>
      <c r="H56" s="90">
        <f t="shared" si="51"/>
        <v>8.5</v>
      </c>
      <c r="I56" s="89">
        <f t="shared" si="51"/>
        <v>229.5</v>
      </c>
      <c r="J56" s="90">
        <f t="shared" si="51"/>
        <v>0</v>
      </c>
      <c r="K56" s="89">
        <f t="shared" si="51"/>
        <v>229.5</v>
      </c>
      <c r="L56" s="89">
        <f t="shared" si="51"/>
        <v>0</v>
      </c>
      <c r="M56" s="89">
        <f t="shared" si="51"/>
        <v>229.5</v>
      </c>
      <c r="N56" s="89">
        <f t="shared" si="51"/>
        <v>0</v>
      </c>
      <c r="O56" s="89">
        <f t="shared" si="51"/>
        <v>229.5</v>
      </c>
      <c r="P56" s="89">
        <f t="shared" si="51"/>
        <v>0</v>
      </c>
      <c r="Q56" s="89">
        <f t="shared" si="51"/>
        <v>229.5</v>
      </c>
      <c r="R56" s="89">
        <f t="shared" si="51"/>
        <v>0</v>
      </c>
      <c r="S56" s="209">
        <f t="shared" si="51"/>
        <v>229.5</v>
      </c>
      <c r="T56" s="209">
        <f t="shared" si="51"/>
        <v>0</v>
      </c>
      <c r="U56" s="209">
        <f t="shared" si="51"/>
        <v>229.5</v>
      </c>
      <c r="V56" s="209">
        <f t="shared" si="51"/>
        <v>0</v>
      </c>
      <c r="W56" s="209">
        <f t="shared" si="51"/>
        <v>229.5</v>
      </c>
      <c r="X56" s="209">
        <f t="shared" si="52"/>
        <v>0</v>
      </c>
      <c r="Y56" s="236">
        <f t="shared" si="52"/>
        <v>229.5</v>
      </c>
      <c r="Z56" s="236">
        <f t="shared" si="52"/>
        <v>0</v>
      </c>
      <c r="AA56" s="236">
        <f t="shared" si="52"/>
        <v>229.5</v>
      </c>
      <c r="AB56" s="236">
        <f t="shared" si="52"/>
        <v>0</v>
      </c>
      <c r="AC56" s="236">
        <f t="shared" si="52"/>
        <v>229.5</v>
      </c>
      <c r="AD56" s="236">
        <f t="shared" si="52"/>
        <v>0</v>
      </c>
      <c r="AE56" s="236">
        <f t="shared" si="52"/>
        <v>229.5</v>
      </c>
    </row>
    <row r="57" spans="1:31" ht="41.25" customHeight="1">
      <c r="A57" s="26" t="s">
        <v>52</v>
      </c>
      <c r="B57" s="48" t="s">
        <v>189</v>
      </c>
      <c r="C57" s="51" t="s">
        <v>2</v>
      </c>
      <c r="D57" s="51" t="s">
        <v>4</v>
      </c>
      <c r="E57" s="51" t="s">
        <v>54</v>
      </c>
      <c r="F57" s="51"/>
      <c r="G57" s="61">
        <f>G58</f>
        <v>221</v>
      </c>
      <c r="H57" s="61">
        <f t="shared" si="51"/>
        <v>8.5</v>
      </c>
      <c r="I57" s="71">
        <f t="shared" si="51"/>
        <v>229.5</v>
      </c>
      <c r="J57" s="61">
        <f t="shared" si="51"/>
        <v>0</v>
      </c>
      <c r="K57" s="71">
        <f t="shared" si="51"/>
        <v>229.5</v>
      </c>
      <c r="L57" s="71">
        <f t="shared" si="51"/>
        <v>0</v>
      </c>
      <c r="M57" s="71">
        <f t="shared" si="51"/>
        <v>229.5</v>
      </c>
      <c r="N57" s="71">
        <f t="shared" si="51"/>
        <v>0</v>
      </c>
      <c r="O57" s="71">
        <f t="shared" si="51"/>
        <v>229.5</v>
      </c>
      <c r="P57" s="71">
        <f t="shared" si="51"/>
        <v>0</v>
      </c>
      <c r="Q57" s="71">
        <f t="shared" si="51"/>
        <v>229.5</v>
      </c>
      <c r="R57" s="71">
        <f t="shared" si="51"/>
        <v>0</v>
      </c>
      <c r="S57" s="208">
        <f t="shared" si="51"/>
        <v>229.5</v>
      </c>
      <c r="T57" s="208">
        <f t="shared" si="51"/>
        <v>0</v>
      </c>
      <c r="U57" s="208">
        <f t="shared" si="51"/>
        <v>229.5</v>
      </c>
      <c r="V57" s="208">
        <f t="shared" si="51"/>
        <v>0</v>
      </c>
      <c r="W57" s="208">
        <f t="shared" si="51"/>
        <v>229.5</v>
      </c>
      <c r="X57" s="208">
        <f t="shared" si="52"/>
        <v>0</v>
      </c>
      <c r="Y57" s="235">
        <f t="shared" si="52"/>
        <v>229.5</v>
      </c>
      <c r="Z57" s="235">
        <f t="shared" si="52"/>
        <v>0</v>
      </c>
      <c r="AA57" s="235">
        <f t="shared" si="52"/>
        <v>229.5</v>
      </c>
      <c r="AB57" s="235">
        <f t="shared" si="52"/>
        <v>0</v>
      </c>
      <c r="AC57" s="235">
        <f t="shared" si="52"/>
        <v>229.5</v>
      </c>
      <c r="AD57" s="235">
        <f t="shared" si="52"/>
        <v>0</v>
      </c>
      <c r="AE57" s="235">
        <f t="shared" si="52"/>
        <v>229.5</v>
      </c>
    </row>
    <row r="58" spans="1:31" ht="27.75" customHeight="1">
      <c r="A58" s="49" t="s">
        <v>58</v>
      </c>
      <c r="B58" s="48" t="s">
        <v>189</v>
      </c>
      <c r="C58" s="51" t="s">
        <v>2</v>
      </c>
      <c r="D58" s="51" t="s">
        <v>4</v>
      </c>
      <c r="E58" s="51" t="s">
        <v>59</v>
      </c>
      <c r="F58" s="51"/>
      <c r="G58" s="61">
        <f aca="true" t="shared" si="53" ref="G58:M58">G59+G60+G61</f>
        <v>221</v>
      </c>
      <c r="H58" s="61">
        <f t="shared" si="53"/>
        <v>8.5</v>
      </c>
      <c r="I58" s="71">
        <f t="shared" si="53"/>
        <v>229.5</v>
      </c>
      <c r="J58" s="61">
        <f t="shared" si="53"/>
        <v>0</v>
      </c>
      <c r="K58" s="71">
        <f t="shared" si="53"/>
        <v>229.5</v>
      </c>
      <c r="L58" s="71">
        <f t="shared" si="53"/>
        <v>0</v>
      </c>
      <c r="M58" s="71">
        <f t="shared" si="53"/>
        <v>229.5</v>
      </c>
      <c r="N58" s="71">
        <f aca="true" t="shared" si="54" ref="N58:S58">N59+N60+N61</f>
        <v>0</v>
      </c>
      <c r="O58" s="71">
        <f t="shared" si="54"/>
        <v>229.5</v>
      </c>
      <c r="P58" s="71">
        <f t="shared" si="54"/>
        <v>0</v>
      </c>
      <c r="Q58" s="71">
        <f t="shared" si="54"/>
        <v>229.5</v>
      </c>
      <c r="R58" s="71">
        <f t="shared" si="54"/>
        <v>0</v>
      </c>
      <c r="S58" s="208">
        <f t="shared" si="54"/>
        <v>229.5</v>
      </c>
      <c r="T58" s="208">
        <f aca="true" t="shared" si="55" ref="T58:Y58">T59+T60+T61</f>
        <v>0</v>
      </c>
      <c r="U58" s="208">
        <f t="shared" si="55"/>
        <v>229.5</v>
      </c>
      <c r="V58" s="208">
        <f t="shared" si="55"/>
        <v>0</v>
      </c>
      <c r="W58" s="208">
        <f t="shared" si="55"/>
        <v>229.5</v>
      </c>
      <c r="X58" s="208">
        <f t="shared" si="55"/>
        <v>0</v>
      </c>
      <c r="Y58" s="235">
        <f t="shared" si="55"/>
        <v>229.5</v>
      </c>
      <c r="Z58" s="235">
        <f aca="true" t="shared" si="56" ref="Z58:AE58">Z59+Z60+Z61</f>
        <v>0</v>
      </c>
      <c r="AA58" s="235">
        <f t="shared" si="56"/>
        <v>229.5</v>
      </c>
      <c r="AB58" s="235">
        <f t="shared" si="56"/>
        <v>0</v>
      </c>
      <c r="AC58" s="235">
        <f t="shared" si="56"/>
        <v>229.5</v>
      </c>
      <c r="AD58" s="235">
        <f t="shared" si="56"/>
        <v>0</v>
      </c>
      <c r="AE58" s="235">
        <f t="shared" si="56"/>
        <v>229.5</v>
      </c>
    </row>
    <row r="59" spans="1:31" ht="15.75">
      <c r="A59" s="26" t="s">
        <v>29</v>
      </c>
      <c r="B59" s="48" t="s">
        <v>189</v>
      </c>
      <c r="C59" s="51" t="s">
        <v>2</v>
      </c>
      <c r="D59" s="51" t="s">
        <v>4</v>
      </c>
      <c r="E59" s="51" t="s">
        <v>59</v>
      </c>
      <c r="F59" s="27" t="s">
        <v>36</v>
      </c>
      <c r="G59" s="60">
        <v>221</v>
      </c>
      <c r="H59" s="88">
        <v>8.5</v>
      </c>
      <c r="I59" s="71">
        <f>G59+H59</f>
        <v>229.5</v>
      </c>
      <c r="J59" s="88"/>
      <c r="K59" s="71">
        <f>I59+J59</f>
        <v>229.5</v>
      </c>
      <c r="L59" s="71"/>
      <c r="M59" s="71">
        <f>K59+L59</f>
        <v>229.5</v>
      </c>
      <c r="N59" s="71"/>
      <c r="O59" s="71">
        <f>M59+N59</f>
        <v>229.5</v>
      </c>
      <c r="P59" s="71"/>
      <c r="Q59" s="71">
        <f>O59+P59</f>
        <v>229.5</v>
      </c>
      <c r="R59" s="71"/>
      <c r="S59" s="208">
        <f>Q59+R59</f>
        <v>229.5</v>
      </c>
      <c r="T59" s="208"/>
      <c r="U59" s="208">
        <f>S59+T59</f>
        <v>229.5</v>
      </c>
      <c r="V59" s="208"/>
      <c r="W59" s="208">
        <f>U59+V59</f>
        <v>229.5</v>
      </c>
      <c r="X59" s="208"/>
      <c r="Y59" s="235">
        <f>W59+X59</f>
        <v>229.5</v>
      </c>
      <c r="Z59" s="235"/>
      <c r="AA59" s="235">
        <f>Y59+Z59</f>
        <v>229.5</v>
      </c>
      <c r="AB59" s="235"/>
      <c r="AC59" s="235">
        <f>AA59+AB59</f>
        <v>229.5</v>
      </c>
      <c r="AD59" s="235"/>
      <c r="AE59" s="235">
        <f>AC59+AD59</f>
        <v>229.5</v>
      </c>
    </row>
    <row r="60" spans="1:31" s="6" customFormat="1" ht="26.25" customHeight="1" hidden="1">
      <c r="A60" s="26" t="s">
        <v>39</v>
      </c>
      <c r="B60" s="48" t="s">
        <v>189</v>
      </c>
      <c r="C60" s="51" t="s">
        <v>1</v>
      </c>
      <c r="D60" s="51" t="s">
        <v>20</v>
      </c>
      <c r="E60" s="51" t="s">
        <v>59</v>
      </c>
      <c r="F60" s="27" t="s">
        <v>40</v>
      </c>
      <c r="G60" s="61">
        <v>0</v>
      </c>
      <c r="H60" s="91"/>
      <c r="I60" s="71">
        <f>G60+H60</f>
        <v>0</v>
      </c>
      <c r="J60" s="91"/>
      <c r="K60" s="71">
        <f>I60+J60</f>
        <v>0</v>
      </c>
      <c r="L60" s="71"/>
      <c r="M60" s="71">
        <f>K60+L60</f>
        <v>0</v>
      </c>
      <c r="N60" s="71"/>
      <c r="O60" s="71">
        <f>M60+N60</f>
        <v>0</v>
      </c>
      <c r="P60" s="71">
        <f>N60+O60</f>
        <v>0</v>
      </c>
      <c r="Q60" s="71">
        <f>O60+P60</f>
        <v>0</v>
      </c>
      <c r="R60" s="71">
        <f>P60+Q60</f>
        <v>0</v>
      </c>
      <c r="S60" s="208">
        <f>Q60+R60</f>
        <v>0</v>
      </c>
      <c r="T60" s="208">
        <f>R60+S60</f>
        <v>0</v>
      </c>
      <c r="U60" s="208">
        <f>S60+T60</f>
        <v>0</v>
      </c>
      <c r="V60" s="208"/>
      <c r="W60" s="208">
        <f>U60+V60</f>
        <v>0</v>
      </c>
      <c r="X60" s="208">
        <f>V60+W60</f>
        <v>0</v>
      </c>
      <c r="Y60" s="235">
        <f>W60+X60</f>
        <v>0</v>
      </c>
      <c r="Z60" s="235">
        <f>X60+Y60</f>
        <v>0</v>
      </c>
      <c r="AA60" s="235">
        <f>Y60+Z60</f>
        <v>0</v>
      </c>
      <c r="AB60" s="235">
        <f>Z60+AA60</f>
        <v>0</v>
      </c>
      <c r="AC60" s="235">
        <f>AA60+AB60</f>
        <v>0</v>
      </c>
      <c r="AD60" s="235">
        <f>AB60+AC60</f>
        <v>0</v>
      </c>
      <c r="AE60" s="235">
        <f>AC60+AD60</f>
        <v>0</v>
      </c>
    </row>
    <row r="61" spans="1:31" ht="29.25" customHeight="1" hidden="1">
      <c r="A61" s="26" t="s">
        <v>184</v>
      </c>
      <c r="B61" s="48" t="s">
        <v>189</v>
      </c>
      <c r="C61" s="51" t="s">
        <v>1</v>
      </c>
      <c r="D61" s="51" t="s">
        <v>20</v>
      </c>
      <c r="E61" s="51" t="s">
        <v>59</v>
      </c>
      <c r="F61" s="27" t="s">
        <v>42</v>
      </c>
      <c r="G61" s="60">
        <v>0</v>
      </c>
      <c r="H61" s="88"/>
      <c r="I61" s="71">
        <f>G61+H61</f>
        <v>0</v>
      </c>
      <c r="J61" s="88"/>
      <c r="K61" s="71">
        <f>I61+J61</f>
        <v>0</v>
      </c>
      <c r="L61" s="71"/>
      <c r="M61" s="71">
        <f>K61+L61</f>
        <v>0</v>
      </c>
      <c r="N61" s="71"/>
      <c r="O61" s="71">
        <f>M61+N61</f>
        <v>0</v>
      </c>
      <c r="P61" s="71">
        <f>N61+O61</f>
        <v>0</v>
      </c>
      <c r="Q61" s="71">
        <f>O61+P61</f>
        <v>0</v>
      </c>
      <c r="R61" s="71">
        <f>P61+Q61</f>
        <v>0</v>
      </c>
      <c r="S61" s="208">
        <f>Q61+R61</f>
        <v>0</v>
      </c>
      <c r="T61" s="208">
        <f>R61+S61</f>
        <v>0</v>
      </c>
      <c r="U61" s="208">
        <f>S61+T61</f>
        <v>0</v>
      </c>
      <c r="V61" s="208"/>
      <c r="W61" s="208">
        <f>U61+V61</f>
        <v>0</v>
      </c>
      <c r="X61" s="208">
        <f>V61+W61</f>
        <v>0</v>
      </c>
      <c r="Y61" s="235">
        <f>W61+X61</f>
        <v>0</v>
      </c>
      <c r="Z61" s="235">
        <f>X61+Y61</f>
        <v>0</v>
      </c>
      <c r="AA61" s="235">
        <f>Y61+Z61</f>
        <v>0</v>
      </c>
      <c r="AB61" s="235">
        <f>Z61+AA61</f>
        <v>0</v>
      </c>
      <c r="AC61" s="235">
        <f>AA61+AB61</f>
        <v>0</v>
      </c>
      <c r="AD61" s="235">
        <f>AB61+AC61</f>
        <v>0</v>
      </c>
      <c r="AE61" s="235">
        <f>AC61+AD61</f>
        <v>0</v>
      </c>
    </row>
    <row r="62" spans="1:31" s="8" customFormat="1" ht="27" customHeight="1">
      <c r="A62" s="40" t="s">
        <v>60</v>
      </c>
      <c r="B62" s="47" t="s">
        <v>189</v>
      </c>
      <c r="C62" s="111" t="s">
        <v>4</v>
      </c>
      <c r="D62" s="111"/>
      <c r="E62" s="111"/>
      <c r="F62" s="111"/>
      <c r="G62" s="62">
        <f aca="true" t="shared" si="57" ref="G62:V63">G63</f>
        <v>144</v>
      </c>
      <c r="H62" s="62">
        <f t="shared" si="57"/>
        <v>0</v>
      </c>
      <c r="I62" s="84">
        <f t="shared" si="57"/>
        <v>144</v>
      </c>
      <c r="J62" s="62">
        <f t="shared" si="57"/>
        <v>0</v>
      </c>
      <c r="K62" s="84">
        <f t="shared" si="57"/>
        <v>144</v>
      </c>
      <c r="L62" s="84">
        <f t="shared" si="57"/>
        <v>0</v>
      </c>
      <c r="M62" s="84">
        <f t="shared" si="57"/>
        <v>144</v>
      </c>
      <c r="N62" s="84">
        <f t="shared" si="57"/>
        <v>0</v>
      </c>
      <c r="O62" s="84">
        <f t="shared" si="57"/>
        <v>144</v>
      </c>
      <c r="P62" s="84">
        <f t="shared" si="57"/>
        <v>0</v>
      </c>
      <c r="Q62" s="84">
        <f t="shared" si="57"/>
        <v>144</v>
      </c>
      <c r="R62" s="84">
        <f t="shared" si="57"/>
        <v>0</v>
      </c>
      <c r="S62" s="210">
        <f t="shared" si="57"/>
        <v>144</v>
      </c>
      <c r="T62" s="210">
        <f t="shared" si="57"/>
        <v>0</v>
      </c>
      <c r="U62" s="210">
        <f t="shared" si="57"/>
        <v>144</v>
      </c>
      <c r="V62" s="210">
        <f t="shared" si="57"/>
        <v>300</v>
      </c>
      <c r="W62" s="210">
        <f aca="true" t="shared" si="58" ref="W62:AE63">W63</f>
        <v>444.00000000000006</v>
      </c>
      <c r="X62" s="210">
        <f t="shared" si="58"/>
        <v>383.536</v>
      </c>
      <c r="Y62" s="237">
        <f t="shared" si="58"/>
        <v>827.536</v>
      </c>
      <c r="Z62" s="237">
        <f t="shared" si="58"/>
        <v>200</v>
      </c>
      <c r="AA62" s="237">
        <f t="shared" si="58"/>
        <v>1027.536</v>
      </c>
      <c r="AB62" s="237">
        <f t="shared" si="58"/>
        <v>200</v>
      </c>
      <c r="AC62" s="237">
        <f t="shared" si="58"/>
        <v>1227.536</v>
      </c>
      <c r="AD62" s="237">
        <f t="shared" si="58"/>
        <v>0</v>
      </c>
      <c r="AE62" s="237">
        <f t="shared" si="58"/>
        <v>1227.536</v>
      </c>
    </row>
    <row r="63" spans="1:31" s="38" customFormat="1" ht="41.25" customHeight="1">
      <c r="A63" s="40" t="s">
        <v>61</v>
      </c>
      <c r="B63" s="47" t="s">
        <v>189</v>
      </c>
      <c r="C63" s="41" t="s">
        <v>4</v>
      </c>
      <c r="D63" s="41" t="s">
        <v>5</v>
      </c>
      <c r="E63" s="42"/>
      <c r="F63" s="41"/>
      <c r="G63" s="62">
        <f t="shared" si="57"/>
        <v>144</v>
      </c>
      <c r="H63" s="62">
        <f t="shared" si="57"/>
        <v>0</v>
      </c>
      <c r="I63" s="84">
        <f t="shared" si="57"/>
        <v>144</v>
      </c>
      <c r="J63" s="62">
        <f t="shared" si="57"/>
        <v>0</v>
      </c>
      <c r="K63" s="84">
        <f t="shared" si="57"/>
        <v>144</v>
      </c>
      <c r="L63" s="84">
        <f t="shared" si="57"/>
        <v>0</v>
      </c>
      <c r="M63" s="84">
        <f t="shared" si="57"/>
        <v>144</v>
      </c>
      <c r="N63" s="84">
        <f t="shared" si="57"/>
        <v>0</v>
      </c>
      <c r="O63" s="84">
        <f t="shared" si="57"/>
        <v>144</v>
      </c>
      <c r="P63" s="84">
        <f t="shared" si="57"/>
        <v>0</v>
      </c>
      <c r="Q63" s="84">
        <f t="shared" si="57"/>
        <v>144</v>
      </c>
      <c r="R63" s="84">
        <f t="shared" si="57"/>
        <v>0</v>
      </c>
      <c r="S63" s="210">
        <f t="shared" si="57"/>
        <v>144</v>
      </c>
      <c r="T63" s="210">
        <f t="shared" si="57"/>
        <v>0</v>
      </c>
      <c r="U63" s="210">
        <f t="shared" si="57"/>
        <v>144</v>
      </c>
      <c r="V63" s="210">
        <f>V64</f>
        <v>300</v>
      </c>
      <c r="W63" s="210">
        <f t="shared" si="58"/>
        <v>444.00000000000006</v>
      </c>
      <c r="X63" s="210">
        <f t="shared" si="58"/>
        <v>383.536</v>
      </c>
      <c r="Y63" s="237">
        <f t="shared" si="58"/>
        <v>827.536</v>
      </c>
      <c r="Z63" s="237">
        <f t="shared" si="58"/>
        <v>200</v>
      </c>
      <c r="AA63" s="237">
        <f t="shared" si="58"/>
        <v>1027.536</v>
      </c>
      <c r="AB63" s="237">
        <f t="shared" si="58"/>
        <v>200</v>
      </c>
      <c r="AC63" s="237">
        <f t="shared" si="58"/>
        <v>1227.536</v>
      </c>
      <c r="AD63" s="237">
        <f t="shared" si="58"/>
        <v>0</v>
      </c>
      <c r="AE63" s="237">
        <f t="shared" si="58"/>
        <v>1227.536</v>
      </c>
    </row>
    <row r="64" spans="1:31" s="5" customFormat="1" ht="26.25" customHeight="1">
      <c r="A64" s="26" t="s">
        <v>62</v>
      </c>
      <c r="B64" s="48" t="s">
        <v>189</v>
      </c>
      <c r="C64" s="27" t="s">
        <v>4</v>
      </c>
      <c r="D64" s="27" t="s">
        <v>5</v>
      </c>
      <c r="E64" s="27" t="s">
        <v>63</v>
      </c>
      <c r="F64" s="27"/>
      <c r="G64" s="60">
        <f aca="true" t="shared" si="59" ref="G64:M64">G65+G68</f>
        <v>144</v>
      </c>
      <c r="H64" s="60">
        <f t="shared" si="59"/>
        <v>0</v>
      </c>
      <c r="I64" s="83">
        <f t="shared" si="59"/>
        <v>144</v>
      </c>
      <c r="J64" s="60">
        <f t="shared" si="59"/>
        <v>0</v>
      </c>
      <c r="K64" s="83">
        <f t="shared" si="59"/>
        <v>144</v>
      </c>
      <c r="L64" s="83">
        <f t="shared" si="59"/>
        <v>0</v>
      </c>
      <c r="M64" s="83">
        <f t="shared" si="59"/>
        <v>144</v>
      </c>
      <c r="N64" s="83">
        <f>N65+N68</f>
        <v>0</v>
      </c>
      <c r="O64" s="83">
        <f>O65+O68</f>
        <v>144</v>
      </c>
      <c r="P64" s="83">
        <f>P65+P68</f>
        <v>0</v>
      </c>
      <c r="Q64" s="83">
        <f>Q65+Q68</f>
        <v>144</v>
      </c>
      <c r="R64" s="83">
        <f>R65+R68</f>
        <v>0</v>
      </c>
      <c r="S64" s="207">
        <f aca="true" t="shared" si="60" ref="S64:Y64">S65+S68+S70</f>
        <v>144</v>
      </c>
      <c r="T64" s="207">
        <f t="shared" si="60"/>
        <v>0</v>
      </c>
      <c r="U64" s="207">
        <f t="shared" si="60"/>
        <v>144</v>
      </c>
      <c r="V64" s="207">
        <f t="shared" si="60"/>
        <v>300</v>
      </c>
      <c r="W64" s="207">
        <f t="shared" si="60"/>
        <v>444.00000000000006</v>
      </c>
      <c r="X64" s="207">
        <f t="shared" si="60"/>
        <v>383.536</v>
      </c>
      <c r="Y64" s="234">
        <f t="shared" si="60"/>
        <v>827.536</v>
      </c>
      <c r="Z64" s="234">
        <f aca="true" t="shared" si="61" ref="Z64:AE64">Z65+Z68+Z70</f>
        <v>200</v>
      </c>
      <c r="AA64" s="234">
        <f t="shared" si="61"/>
        <v>1027.536</v>
      </c>
      <c r="AB64" s="234">
        <f t="shared" si="61"/>
        <v>200</v>
      </c>
      <c r="AC64" s="234">
        <f t="shared" si="61"/>
        <v>1227.536</v>
      </c>
      <c r="AD64" s="234">
        <f t="shared" si="61"/>
        <v>0</v>
      </c>
      <c r="AE64" s="234">
        <f t="shared" si="61"/>
        <v>1227.536</v>
      </c>
    </row>
    <row r="65" spans="1:31" ht="40.5" customHeight="1">
      <c r="A65" s="26" t="s">
        <v>64</v>
      </c>
      <c r="B65" s="48" t="s">
        <v>189</v>
      </c>
      <c r="C65" s="27" t="s">
        <v>4</v>
      </c>
      <c r="D65" s="27" t="s">
        <v>5</v>
      </c>
      <c r="E65" s="27" t="s">
        <v>65</v>
      </c>
      <c r="F65" s="27"/>
      <c r="G65" s="61">
        <f aca="true" t="shared" si="62" ref="G65:V65">G67</f>
        <v>100</v>
      </c>
      <c r="H65" s="61">
        <f t="shared" si="62"/>
        <v>0</v>
      </c>
      <c r="I65" s="71">
        <f t="shared" si="62"/>
        <v>100</v>
      </c>
      <c r="J65" s="61">
        <f t="shared" si="62"/>
        <v>-9.064</v>
      </c>
      <c r="K65" s="71">
        <f t="shared" si="62"/>
        <v>90.936</v>
      </c>
      <c r="L65" s="71">
        <f t="shared" si="62"/>
        <v>0</v>
      </c>
      <c r="M65" s="71">
        <f t="shared" si="62"/>
        <v>90.936</v>
      </c>
      <c r="N65" s="71">
        <f t="shared" si="62"/>
        <v>0</v>
      </c>
      <c r="O65" s="71">
        <f t="shared" si="62"/>
        <v>90.936</v>
      </c>
      <c r="P65" s="71">
        <f t="shared" si="62"/>
        <v>0</v>
      </c>
      <c r="Q65" s="71">
        <f t="shared" si="62"/>
        <v>90.936</v>
      </c>
      <c r="R65" s="71">
        <f t="shared" si="62"/>
        <v>0</v>
      </c>
      <c r="S65" s="208">
        <f t="shared" si="62"/>
        <v>90.936</v>
      </c>
      <c r="T65" s="208">
        <f t="shared" si="62"/>
        <v>0</v>
      </c>
      <c r="U65" s="208">
        <f t="shared" si="62"/>
        <v>90.936</v>
      </c>
      <c r="V65" s="208">
        <f t="shared" si="62"/>
        <v>300</v>
      </c>
      <c r="W65" s="208">
        <f aca="true" t="shared" si="63" ref="W65:AC65">W67+W66</f>
        <v>390.93600000000004</v>
      </c>
      <c r="X65" s="208">
        <f t="shared" si="63"/>
        <v>383.536</v>
      </c>
      <c r="Y65" s="235">
        <f t="shared" si="63"/>
        <v>774.472</v>
      </c>
      <c r="Z65" s="235">
        <f t="shared" si="63"/>
        <v>200</v>
      </c>
      <c r="AA65" s="235">
        <f t="shared" si="63"/>
        <v>974.472</v>
      </c>
      <c r="AB65" s="235">
        <f t="shared" si="63"/>
        <v>200</v>
      </c>
      <c r="AC65" s="235">
        <f t="shared" si="63"/>
        <v>1174.472</v>
      </c>
      <c r="AD65" s="235">
        <f>AD67+AD66</f>
        <v>0</v>
      </c>
      <c r="AE65" s="235">
        <f>AE67+AE66</f>
        <v>1174.472</v>
      </c>
    </row>
    <row r="66" spans="1:31" s="5" customFormat="1" ht="25.5">
      <c r="A66" s="26" t="s">
        <v>39</v>
      </c>
      <c r="B66" s="48" t="s">
        <v>189</v>
      </c>
      <c r="C66" s="27" t="s">
        <v>4</v>
      </c>
      <c r="D66" s="27" t="s">
        <v>5</v>
      </c>
      <c r="E66" s="27" t="s">
        <v>65</v>
      </c>
      <c r="F66" s="27" t="s">
        <v>40</v>
      </c>
      <c r="G66" s="61"/>
      <c r="H66" s="61"/>
      <c r="I66" s="71"/>
      <c r="J66" s="61"/>
      <c r="K66" s="71"/>
      <c r="L66" s="71"/>
      <c r="M66" s="71"/>
      <c r="N66" s="71"/>
      <c r="O66" s="71"/>
      <c r="P66" s="71"/>
      <c r="Q66" s="71"/>
      <c r="R66" s="71"/>
      <c r="S66" s="208"/>
      <c r="T66" s="208"/>
      <c r="U66" s="208"/>
      <c r="V66" s="208"/>
      <c r="W66" s="208"/>
      <c r="X66" s="208">
        <v>3.56</v>
      </c>
      <c r="Y66" s="235">
        <f>W66+X66</f>
        <v>3.56</v>
      </c>
      <c r="Z66" s="235"/>
      <c r="AA66" s="235">
        <f>Y66+Z66</f>
        <v>3.56</v>
      </c>
      <c r="AB66" s="235"/>
      <c r="AC66" s="235">
        <f>AA66+AB66</f>
        <v>3.56</v>
      </c>
      <c r="AD66" s="235"/>
      <c r="AE66" s="235">
        <f>AC66+AD66</f>
        <v>3.56</v>
      </c>
    </row>
    <row r="67" spans="1:31" ht="28.5" customHeight="1">
      <c r="A67" s="45" t="s">
        <v>184</v>
      </c>
      <c r="B67" s="48" t="s">
        <v>189</v>
      </c>
      <c r="C67" s="27" t="s">
        <v>4</v>
      </c>
      <c r="D67" s="27" t="s">
        <v>5</v>
      </c>
      <c r="E67" s="27" t="s">
        <v>65</v>
      </c>
      <c r="F67" s="27" t="s">
        <v>42</v>
      </c>
      <c r="G67" s="61">
        <v>100</v>
      </c>
      <c r="H67" s="88"/>
      <c r="I67" s="71">
        <f>G67+H67</f>
        <v>100</v>
      </c>
      <c r="J67" s="88">
        <v>-9.064</v>
      </c>
      <c r="K67" s="71">
        <f>I67+J67</f>
        <v>90.936</v>
      </c>
      <c r="L67" s="71"/>
      <c r="M67" s="71">
        <f>K67+L67</f>
        <v>90.936</v>
      </c>
      <c r="N67" s="71"/>
      <c r="O67" s="71">
        <f>M67+N67</f>
        <v>90.936</v>
      </c>
      <c r="P67" s="71"/>
      <c r="Q67" s="71">
        <f>O67+P67</f>
        <v>90.936</v>
      </c>
      <c r="R67" s="71"/>
      <c r="S67" s="208">
        <f>Q67+R67</f>
        <v>90.936</v>
      </c>
      <c r="T67" s="208"/>
      <c r="U67" s="208">
        <f>S67+T67</f>
        <v>90.936</v>
      </c>
      <c r="V67" s="208">
        <f>298.5+1.5</f>
        <v>300</v>
      </c>
      <c r="W67" s="208">
        <f>U67+V67</f>
        <v>390.93600000000004</v>
      </c>
      <c r="X67" s="208">
        <f>281.5+18.5+79.976</f>
        <v>379.976</v>
      </c>
      <c r="Y67" s="235">
        <f>W67+X67</f>
        <v>770.912</v>
      </c>
      <c r="Z67" s="235">
        <f>5.4616-83.536+264.6069+13.4675</f>
        <v>200</v>
      </c>
      <c r="AA67" s="235">
        <f>Y67+Z67</f>
        <v>970.912</v>
      </c>
      <c r="AB67" s="235">
        <v>200</v>
      </c>
      <c r="AC67" s="235">
        <f>AA67+AB67</f>
        <v>1170.912</v>
      </c>
      <c r="AD67" s="235"/>
      <c r="AE67" s="235">
        <f>AC67+AD67</f>
        <v>1170.912</v>
      </c>
    </row>
    <row r="68" spans="1:31" s="6" customFormat="1" ht="41.25" customHeight="1">
      <c r="A68" s="26" t="s">
        <v>67</v>
      </c>
      <c r="B68" s="48" t="s">
        <v>189</v>
      </c>
      <c r="C68" s="27" t="s">
        <v>4</v>
      </c>
      <c r="D68" s="27" t="s">
        <v>5</v>
      </c>
      <c r="E68" s="27" t="s">
        <v>66</v>
      </c>
      <c r="F68" s="27"/>
      <c r="G68" s="61">
        <f aca="true" t="shared" si="64" ref="G68:AE68">G69</f>
        <v>44</v>
      </c>
      <c r="H68" s="61">
        <f t="shared" si="64"/>
        <v>0</v>
      </c>
      <c r="I68" s="71">
        <f t="shared" si="64"/>
        <v>44</v>
      </c>
      <c r="J68" s="61">
        <f t="shared" si="64"/>
        <v>9.064</v>
      </c>
      <c r="K68" s="71">
        <f t="shared" si="64"/>
        <v>53.064</v>
      </c>
      <c r="L68" s="71">
        <f t="shared" si="64"/>
        <v>0</v>
      </c>
      <c r="M68" s="71">
        <f t="shared" si="64"/>
        <v>53.064</v>
      </c>
      <c r="N68" s="71">
        <f t="shared" si="64"/>
        <v>0</v>
      </c>
      <c r="O68" s="71">
        <f t="shared" si="64"/>
        <v>53.064</v>
      </c>
      <c r="P68" s="71">
        <f t="shared" si="64"/>
        <v>0</v>
      </c>
      <c r="Q68" s="71">
        <f t="shared" si="64"/>
        <v>53.064</v>
      </c>
      <c r="R68" s="71">
        <f t="shared" si="64"/>
        <v>0</v>
      </c>
      <c r="S68" s="208">
        <f t="shared" si="64"/>
        <v>53.064</v>
      </c>
      <c r="T68" s="208">
        <f t="shared" si="64"/>
        <v>0</v>
      </c>
      <c r="U68" s="208">
        <f t="shared" si="64"/>
        <v>53.064</v>
      </c>
      <c r="V68" s="208">
        <f t="shared" si="64"/>
        <v>0</v>
      </c>
      <c r="W68" s="208">
        <f t="shared" si="64"/>
        <v>53.064</v>
      </c>
      <c r="X68" s="208">
        <f t="shared" si="64"/>
        <v>0</v>
      </c>
      <c r="Y68" s="235">
        <f t="shared" si="64"/>
        <v>53.064</v>
      </c>
      <c r="Z68" s="235">
        <f t="shared" si="64"/>
        <v>0</v>
      </c>
      <c r="AA68" s="235">
        <f t="shared" si="64"/>
        <v>53.064</v>
      </c>
      <c r="AB68" s="235">
        <f t="shared" si="64"/>
        <v>0</v>
      </c>
      <c r="AC68" s="235">
        <f t="shared" si="64"/>
        <v>53.064</v>
      </c>
      <c r="AD68" s="235">
        <f t="shared" si="64"/>
        <v>0</v>
      </c>
      <c r="AE68" s="235">
        <f t="shared" si="64"/>
        <v>53.064</v>
      </c>
    </row>
    <row r="69" spans="1:31" ht="25.5" customHeight="1">
      <c r="A69" s="45" t="s">
        <v>183</v>
      </c>
      <c r="B69" s="48" t="s">
        <v>189</v>
      </c>
      <c r="C69" s="27" t="s">
        <v>4</v>
      </c>
      <c r="D69" s="27" t="s">
        <v>5</v>
      </c>
      <c r="E69" s="27" t="s">
        <v>66</v>
      </c>
      <c r="F69" s="27" t="s">
        <v>42</v>
      </c>
      <c r="G69" s="61">
        <v>44</v>
      </c>
      <c r="H69" s="88"/>
      <c r="I69" s="71">
        <f>G69+H69</f>
        <v>44</v>
      </c>
      <c r="J69" s="88">
        <v>9.064</v>
      </c>
      <c r="K69" s="71">
        <f>I69+J69</f>
        <v>53.064</v>
      </c>
      <c r="L69" s="71"/>
      <c r="M69" s="71">
        <f>K69+L69</f>
        <v>53.064</v>
      </c>
      <c r="N69" s="71"/>
      <c r="O69" s="71">
        <f>M69+N69</f>
        <v>53.064</v>
      </c>
      <c r="P69" s="71"/>
      <c r="Q69" s="71">
        <f>O69+P69</f>
        <v>53.064</v>
      </c>
      <c r="R69" s="71"/>
      <c r="S69" s="208">
        <f>Q69+R69</f>
        <v>53.064</v>
      </c>
      <c r="T69" s="208"/>
      <c r="U69" s="208">
        <f>S69+T69</f>
        <v>53.064</v>
      </c>
      <c r="V69" s="208"/>
      <c r="W69" s="208">
        <f>U69+V69</f>
        <v>53.064</v>
      </c>
      <c r="X69" s="208"/>
      <c r="Y69" s="235">
        <f>W69+X69</f>
        <v>53.064</v>
      </c>
      <c r="Z69" s="235"/>
      <c r="AA69" s="235">
        <f>Y69+Z69</f>
        <v>53.064</v>
      </c>
      <c r="AB69" s="235"/>
      <c r="AC69" s="235">
        <f>AA69+AB69</f>
        <v>53.064</v>
      </c>
      <c r="AD69" s="235"/>
      <c r="AE69" s="235">
        <f>AC69+AD69</f>
        <v>53.064</v>
      </c>
    </row>
    <row r="70" spans="1:31" s="5" customFormat="1" ht="42" customHeight="1">
      <c r="A70" s="26" t="s">
        <v>339</v>
      </c>
      <c r="B70" s="48" t="s">
        <v>189</v>
      </c>
      <c r="C70" s="27" t="s">
        <v>4</v>
      </c>
      <c r="D70" s="27" t="s">
        <v>5</v>
      </c>
      <c r="E70" s="27" t="s">
        <v>338</v>
      </c>
      <c r="F70" s="27"/>
      <c r="G70" s="61"/>
      <c r="H70" s="88"/>
      <c r="I70" s="71"/>
      <c r="J70" s="88"/>
      <c r="K70" s="71"/>
      <c r="L70" s="71"/>
      <c r="M70" s="71"/>
      <c r="N70" s="71"/>
      <c r="O70" s="71"/>
      <c r="P70" s="71"/>
      <c r="Q70" s="71"/>
      <c r="R70" s="71"/>
      <c r="S70" s="208">
        <f aca="true" t="shared" si="65" ref="S70:AE70">S71</f>
        <v>0</v>
      </c>
      <c r="T70" s="208">
        <f t="shared" si="65"/>
        <v>0</v>
      </c>
      <c r="U70" s="208">
        <f t="shared" si="65"/>
        <v>0</v>
      </c>
      <c r="V70" s="208">
        <f t="shared" si="65"/>
        <v>0</v>
      </c>
      <c r="W70" s="208">
        <f t="shared" si="65"/>
        <v>0</v>
      </c>
      <c r="X70" s="208">
        <f t="shared" si="65"/>
        <v>0</v>
      </c>
      <c r="Y70" s="235">
        <f t="shared" si="65"/>
        <v>0</v>
      </c>
      <c r="Z70" s="235">
        <f t="shared" si="65"/>
        <v>0</v>
      </c>
      <c r="AA70" s="235">
        <f t="shared" si="65"/>
        <v>0</v>
      </c>
      <c r="AB70" s="235">
        <f t="shared" si="65"/>
        <v>0</v>
      </c>
      <c r="AC70" s="235">
        <f t="shared" si="65"/>
        <v>0</v>
      </c>
      <c r="AD70" s="235">
        <f t="shared" si="65"/>
        <v>0</v>
      </c>
      <c r="AE70" s="235">
        <f t="shared" si="65"/>
        <v>0</v>
      </c>
    </row>
    <row r="71" spans="1:31" s="5" customFormat="1" ht="25.5" customHeight="1">
      <c r="A71" s="45" t="s">
        <v>183</v>
      </c>
      <c r="B71" s="48" t="s">
        <v>189</v>
      </c>
      <c r="C71" s="27" t="s">
        <v>4</v>
      </c>
      <c r="D71" s="27" t="s">
        <v>5</v>
      </c>
      <c r="E71" s="27" t="s">
        <v>338</v>
      </c>
      <c r="F71" s="27" t="s">
        <v>42</v>
      </c>
      <c r="G71" s="61"/>
      <c r="H71" s="88"/>
      <c r="I71" s="71"/>
      <c r="J71" s="88"/>
      <c r="K71" s="71"/>
      <c r="L71" s="71"/>
      <c r="M71" s="71"/>
      <c r="N71" s="71"/>
      <c r="O71" s="71"/>
      <c r="P71" s="71"/>
      <c r="Q71" s="71"/>
      <c r="R71" s="71"/>
      <c r="S71" s="208"/>
      <c r="T71" s="208">
        <v>0</v>
      </c>
      <c r="U71" s="208">
        <f>S71+T71</f>
        <v>0</v>
      </c>
      <c r="V71" s="208">
        <f>T71+U71</f>
        <v>0</v>
      </c>
      <c r="W71" s="208">
        <f>U71+V71</f>
        <v>0</v>
      </c>
      <c r="X71" s="208">
        <f>V71+W71</f>
        <v>0</v>
      </c>
      <c r="Y71" s="235">
        <f>W71+X71</f>
        <v>0</v>
      </c>
      <c r="Z71" s="235"/>
      <c r="AA71" s="235">
        <f>Y71+Z71</f>
        <v>0</v>
      </c>
      <c r="AB71" s="235"/>
      <c r="AC71" s="235">
        <f>AA71+AB71</f>
        <v>0</v>
      </c>
      <c r="AD71" s="235"/>
      <c r="AE71" s="235">
        <f>AC71+AD71</f>
        <v>0</v>
      </c>
    </row>
    <row r="72" spans="1:31" s="8" customFormat="1" ht="15.75">
      <c r="A72" s="112" t="s">
        <v>68</v>
      </c>
      <c r="B72" s="47" t="s">
        <v>189</v>
      </c>
      <c r="C72" s="111" t="s">
        <v>3</v>
      </c>
      <c r="D72" s="111"/>
      <c r="E72" s="111"/>
      <c r="F72" s="111"/>
      <c r="G72" s="62">
        <f aca="true" t="shared" si="66" ref="G72:M72">G73+G83</f>
        <v>253.595</v>
      </c>
      <c r="H72" s="62">
        <f t="shared" si="66"/>
        <v>3929.649</v>
      </c>
      <c r="I72" s="84">
        <f t="shared" si="66"/>
        <v>4183.244</v>
      </c>
      <c r="J72" s="62">
        <f t="shared" si="66"/>
        <v>0</v>
      </c>
      <c r="K72" s="84">
        <f t="shared" si="66"/>
        <v>4183.244</v>
      </c>
      <c r="L72" s="84">
        <f t="shared" si="66"/>
        <v>778.972</v>
      </c>
      <c r="M72" s="84">
        <f t="shared" si="66"/>
        <v>4962.215999999999</v>
      </c>
      <c r="N72" s="84">
        <f aca="true" t="shared" si="67" ref="N72:S72">N73+N83</f>
        <v>0</v>
      </c>
      <c r="O72" s="84">
        <f t="shared" si="67"/>
        <v>4962.215999999999</v>
      </c>
      <c r="P72" s="84">
        <f t="shared" si="67"/>
        <v>0</v>
      </c>
      <c r="Q72" s="84">
        <f t="shared" si="67"/>
        <v>4962.215999999999</v>
      </c>
      <c r="R72" s="84">
        <f t="shared" si="67"/>
        <v>-5.5</v>
      </c>
      <c r="S72" s="210">
        <f t="shared" si="67"/>
        <v>4956.715999999999</v>
      </c>
      <c r="T72" s="210">
        <f>T73+T83</f>
        <v>0</v>
      </c>
      <c r="U72" s="210">
        <f>U73+U83</f>
        <v>4956.715999999999</v>
      </c>
      <c r="V72" s="210">
        <f>V73+V83</f>
        <v>0</v>
      </c>
      <c r="W72" s="210">
        <f>W73+W83</f>
        <v>4956.715999999999</v>
      </c>
      <c r="X72" s="210">
        <f>X73+X83</f>
        <v>200</v>
      </c>
      <c r="Y72" s="237">
        <f aca="true" t="shared" si="68" ref="Y72:AE72">Y73+Y83+Y79</f>
        <v>5156.715999999999</v>
      </c>
      <c r="Z72" s="237">
        <f t="shared" si="68"/>
        <v>41657.67</v>
      </c>
      <c r="AA72" s="237">
        <f t="shared" si="68"/>
        <v>46814.386</v>
      </c>
      <c r="AB72" s="237">
        <f t="shared" si="68"/>
        <v>0</v>
      </c>
      <c r="AC72" s="237">
        <f t="shared" si="68"/>
        <v>46814.386</v>
      </c>
      <c r="AD72" s="237">
        <f t="shared" si="68"/>
        <v>-9845.017</v>
      </c>
      <c r="AE72" s="237">
        <f t="shared" si="68"/>
        <v>36969.369</v>
      </c>
    </row>
    <row r="73" spans="1:31" s="39" customFormat="1" ht="15.75">
      <c r="A73" s="43" t="s">
        <v>18</v>
      </c>
      <c r="B73" s="47" t="s">
        <v>189</v>
      </c>
      <c r="C73" s="34" t="s">
        <v>3</v>
      </c>
      <c r="D73" s="34" t="s">
        <v>6</v>
      </c>
      <c r="E73" s="34"/>
      <c r="F73" s="34"/>
      <c r="G73" s="59">
        <f>G74</f>
        <v>15.5</v>
      </c>
      <c r="H73" s="59">
        <f aca="true" t="shared" si="69" ref="H73:X75">H74</f>
        <v>0</v>
      </c>
      <c r="I73" s="82">
        <f t="shared" si="69"/>
        <v>15.5</v>
      </c>
      <c r="J73" s="59">
        <f t="shared" si="69"/>
        <v>0</v>
      </c>
      <c r="K73" s="82">
        <f t="shared" si="69"/>
        <v>15.5</v>
      </c>
      <c r="L73" s="82">
        <f t="shared" si="69"/>
        <v>0</v>
      </c>
      <c r="M73" s="82">
        <f t="shared" si="69"/>
        <v>15.5</v>
      </c>
      <c r="N73" s="82">
        <f t="shared" si="69"/>
        <v>0</v>
      </c>
      <c r="O73" s="82">
        <f t="shared" si="69"/>
        <v>15.5</v>
      </c>
      <c r="P73" s="82">
        <f t="shared" si="69"/>
        <v>0</v>
      </c>
      <c r="Q73" s="82">
        <f t="shared" si="69"/>
        <v>15.5</v>
      </c>
      <c r="R73" s="82">
        <f t="shared" si="69"/>
        <v>-5.5</v>
      </c>
      <c r="S73" s="206">
        <f t="shared" si="69"/>
        <v>10</v>
      </c>
      <c r="T73" s="206">
        <f t="shared" si="69"/>
        <v>0</v>
      </c>
      <c r="U73" s="206">
        <f t="shared" si="69"/>
        <v>10</v>
      </c>
      <c r="V73" s="206">
        <f t="shared" si="69"/>
        <v>0</v>
      </c>
      <c r="W73" s="206">
        <f t="shared" si="69"/>
        <v>10</v>
      </c>
      <c r="X73" s="206">
        <f t="shared" si="69"/>
        <v>0</v>
      </c>
      <c r="Y73" s="233">
        <f aca="true" t="shared" si="70" ref="X73:AE75">Y74</f>
        <v>10</v>
      </c>
      <c r="Z73" s="233">
        <f t="shared" si="70"/>
        <v>0</v>
      </c>
      <c r="AA73" s="233">
        <f t="shared" si="70"/>
        <v>10</v>
      </c>
      <c r="AB73" s="233">
        <f t="shared" si="70"/>
        <v>0</v>
      </c>
      <c r="AC73" s="233">
        <f t="shared" si="70"/>
        <v>10</v>
      </c>
      <c r="AD73" s="233">
        <f t="shared" si="70"/>
        <v>0</v>
      </c>
      <c r="AE73" s="233">
        <f t="shared" si="70"/>
        <v>10</v>
      </c>
    </row>
    <row r="74" spans="1:31" ht="39.75" customHeight="1">
      <c r="A74" s="49" t="s">
        <v>48</v>
      </c>
      <c r="B74" s="48" t="s">
        <v>189</v>
      </c>
      <c r="C74" s="27" t="s">
        <v>3</v>
      </c>
      <c r="D74" s="27" t="s">
        <v>6</v>
      </c>
      <c r="E74" s="51" t="s">
        <v>26</v>
      </c>
      <c r="F74" s="51"/>
      <c r="G74" s="60">
        <f>G75</f>
        <v>15.5</v>
      </c>
      <c r="H74" s="60">
        <f t="shared" si="69"/>
        <v>0</v>
      </c>
      <c r="I74" s="83">
        <f t="shared" si="69"/>
        <v>15.5</v>
      </c>
      <c r="J74" s="60">
        <f t="shared" si="69"/>
        <v>0</v>
      </c>
      <c r="K74" s="83">
        <f t="shared" si="69"/>
        <v>15.5</v>
      </c>
      <c r="L74" s="83">
        <f t="shared" si="69"/>
        <v>0</v>
      </c>
      <c r="M74" s="83">
        <f t="shared" si="69"/>
        <v>15.5</v>
      </c>
      <c r="N74" s="83">
        <f t="shared" si="69"/>
        <v>0</v>
      </c>
      <c r="O74" s="83">
        <f t="shared" si="69"/>
        <v>15.5</v>
      </c>
      <c r="P74" s="83">
        <f t="shared" si="69"/>
        <v>0</v>
      </c>
      <c r="Q74" s="83">
        <f t="shared" si="69"/>
        <v>15.5</v>
      </c>
      <c r="R74" s="83">
        <f t="shared" si="69"/>
        <v>-5.5</v>
      </c>
      <c r="S74" s="207">
        <f t="shared" si="69"/>
        <v>10</v>
      </c>
      <c r="T74" s="207">
        <f t="shared" si="69"/>
        <v>0</v>
      </c>
      <c r="U74" s="207">
        <f t="shared" si="69"/>
        <v>10</v>
      </c>
      <c r="V74" s="207">
        <f t="shared" si="69"/>
        <v>0</v>
      </c>
      <c r="W74" s="207">
        <f t="shared" si="69"/>
        <v>10</v>
      </c>
      <c r="X74" s="207">
        <f t="shared" si="70"/>
        <v>0</v>
      </c>
      <c r="Y74" s="234">
        <f t="shared" si="70"/>
        <v>10</v>
      </c>
      <c r="Z74" s="234">
        <f t="shared" si="70"/>
        <v>0</v>
      </c>
      <c r="AA74" s="234">
        <f t="shared" si="70"/>
        <v>10</v>
      </c>
      <c r="AB74" s="234">
        <f t="shared" si="70"/>
        <v>0</v>
      </c>
      <c r="AC74" s="234">
        <f t="shared" si="70"/>
        <v>10</v>
      </c>
      <c r="AD74" s="234">
        <f t="shared" si="70"/>
        <v>0</v>
      </c>
      <c r="AE74" s="234">
        <f t="shared" si="70"/>
        <v>10</v>
      </c>
    </row>
    <row r="75" spans="1:31" ht="15.75">
      <c r="A75" s="26" t="s">
        <v>32</v>
      </c>
      <c r="B75" s="48" t="s">
        <v>189</v>
      </c>
      <c r="C75" s="27" t="s">
        <v>3</v>
      </c>
      <c r="D75" s="27" t="s">
        <v>6</v>
      </c>
      <c r="E75" s="27" t="s">
        <v>33</v>
      </c>
      <c r="F75" s="27"/>
      <c r="G75" s="60">
        <f>G76</f>
        <v>15.5</v>
      </c>
      <c r="H75" s="60">
        <f t="shared" si="69"/>
        <v>0</v>
      </c>
      <c r="I75" s="83">
        <f t="shared" si="69"/>
        <v>15.5</v>
      </c>
      <c r="J75" s="60">
        <f t="shared" si="69"/>
        <v>0</v>
      </c>
      <c r="K75" s="83">
        <f t="shared" si="69"/>
        <v>15.5</v>
      </c>
      <c r="L75" s="83">
        <f t="shared" si="69"/>
        <v>0</v>
      </c>
      <c r="M75" s="83">
        <f t="shared" si="69"/>
        <v>15.5</v>
      </c>
      <c r="N75" s="83">
        <f t="shared" si="69"/>
        <v>0</v>
      </c>
      <c r="O75" s="83">
        <f t="shared" si="69"/>
        <v>15.5</v>
      </c>
      <c r="P75" s="83">
        <f t="shared" si="69"/>
        <v>0</v>
      </c>
      <c r="Q75" s="83">
        <f t="shared" si="69"/>
        <v>15.5</v>
      </c>
      <c r="R75" s="83">
        <f t="shared" si="69"/>
        <v>-5.5</v>
      </c>
      <c r="S75" s="207">
        <f t="shared" si="69"/>
        <v>10</v>
      </c>
      <c r="T75" s="207">
        <f t="shared" si="69"/>
        <v>0</v>
      </c>
      <c r="U75" s="207">
        <f t="shared" si="69"/>
        <v>10</v>
      </c>
      <c r="V75" s="207">
        <f t="shared" si="69"/>
        <v>0</v>
      </c>
      <c r="W75" s="207">
        <f t="shared" si="69"/>
        <v>10</v>
      </c>
      <c r="X75" s="207">
        <f t="shared" si="70"/>
        <v>0</v>
      </c>
      <c r="Y75" s="234">
        <f t="shared" si="70"/>
        <v>10</v>
      </c>
      <c r="Z75" s="234">
        <f t="shared" si="70"/>
        <v>0</v>
      </c>
      <c r="AA75" s="234">
        <f t="shared" si="70"/>
        <v>10</v>
      </c>
      <c r="AB75" s="234">
        <f t="shared" si="70"/>
        <v>0</v>
      </c>
      <c r="AC75" s="234">
        <f t="shared" si="70"/>
        <v>10</v>
      </c>
      <c r="AD75" s="234">
        <f t="shared" si="70"/>
        <v>0</v>
      </c>
      <c r="AE75" s="234">
        <f t="shared" si="70"/>
        <v>10</v>
      </c>
    </row>
    <row r="76" spans="1:31" ht="27" customHeight="1">
      <c r="A76" s="26" t="s">
        <v>34</v>
      </c>
      <c r="B76" s="48" t="s">
        <v>189</v>
      </c>
      <c r="C76" s="27" t="s">
        <v>3</v>
      </c>
      <c r="D76" s="27" t="s">
        <v>6</v>
      </c>
      <c r="E76" s="27" t="s">
        <v>69</v>
      </c>
      <c r="F76" s="27"/>
      <c r="G76" s="61">
        <f>G78</f>
        <v>15.5</v>
      </c>
      <c r="H76" s="61">
        <f>H78</f>
        <v>0</v>
      </c>
      <c r="I76" s="71">
        <f aca="true" t="shared" si="71" ref="I76:O76">I78+I77</f>
        <v>15.5</v>
      </c>
      <c r="J76" s="71">
        <f t="shared" si="71"/>
        <v>0</v>
      </c>
      <c r="K76" s="71">
        <f t="shared" si="71"/>
        <v>15.5</v>
      </c>
      <c r="L76" s="71">
        <f t="shared" si="71"/>
        <v>0</v>
      </c>
      <c r="M76" s="71">
        <f t="shared" si="71"/>
        <v>15.5</v>
      </c>
      <c r="N76" s="71">
        <f t="shared" si="71"/>
        <v>0</v>
      </c>
      <c r="O76" s="71">
        <f t="shared" si="71"/>
        <v>15.5</v>
      </c>
      <c r="P76" s="71">
        <f aca="true" t="shared" si="72" ref="P76:U76">P78+P77</f>
        <v>0</v>
      </c>
      <c r="Q76" s="71">
        <f t="shared" si="72"/>
        <v>15.5</v>
      </c>
      <c r="R76" s="71">
        <f t="shared" si="72"/>
        <v>-5.5</v>
      </c>
      <c r="S76" s="208">
        <f t="shared" si="72"/>
        <v>10</v>
      </c>
      <c r="T76" s="208">
        <f t="shared" si="72"/>
        <v>0</v>
      </c>
      <c r="U76" s="208">
        <f t="shared" si="72"/>
        <v>10</v>
      </c>
      <c r="V76" s="208">
        <f aca="true" t="shared" si="73" ref="V76:AA76">V78+V77</f>
        <v>0</v>
      </c>
      <c r="W76" s="208">
        <f t="shared" si="73"/>
        <v>10</v>
      </c>
      <c r="X76" s="208">
        <f t="shared" si="73"/>
        <v>0</v>
      </c>
      <c r="Y76" s="235">
        <f t="shared" si="73"/>
        <v>10</v>
      </c>
      <c r="Z76" s="235">
        <f t="shared" si="73"/>
        <v>0</v>
      </c>
      <c r="AA76" s="235">
        <f t="shared" si="73"/>
        <v>10</v>
      </c>
      <c r="AB76" s="235">
        <f>AB78+AB77</f>
        <v>0</v>
      </c>
      <c r="AC76" s="235">
        <f>AC78+AC77</f>
        <v>10</v>
      </c>
      <c r="AD76" s="235">
        <f>AD78+AD77</f>
        <v>0</v>
      </c>
      <c r="AE76" s="235">
        <f>AE78+AE77</f>
        <v>10</v>
      </c>
    </row>
    <row r="77" spans="1:31" ht="25.5">
      <c r="A77" s="26" t="s">
        <v>39</v>
      </c>
      <c r="B77" s="48" t="s">
        <v>189</v>
      </c>
      <c r="C77" s="27" t="s">
        <v>3</v>
      </c>
      <c r="D77" s="27" t="s">
        <v>6</v>
      </c>
      <c r="E77" s="27" t="s">
        <v>69</v>
      </c>
      <c r="F77" s="27" t="s">
        <v>40</v>
      </c>
      <c r="G77" s="61"/>
      <c r="H77" s="61"/>
      <c r="I77" s="71"/>
      <c r="J77" s="61">
        <v>1</v>
      </c>
      <c r="K77" s="61">
        <f>I77+J77</f>
        <v>1</v>
      </c>
      <c r="L77" s="61"/>
      <c r="M77" s="61">
        <f>K77+L77</f>
        <v>1</v>
      </c>
      <c r="N77" s="61"/>
      <c r="O77" s="61">
        <f>M77+N77</f>
        <v>1</v>
      </c>
      <c r="P77" s="61"/>
      <c r="Q77" s="61">
        <f>O77+P77</f>
        <v>1</v>
      </c>
      <c r="R77" s="61"/>
      <c r="S77" s="208">
        <f>Q77+R77</f>
        <v>1</v>
      </c>
      <c r="T77" s="208"/>
      <c r="U77" s="208">
        <f>S77+T77</f>
        <v>1</v>
      </c>
      <c r="V77" s="208">
        <v>-0.1</v>
      </c>
      <c r="W77" s="208">
        <f>U77+V77</f>
        <v>0.9</v>
      </c>
      <c r="X77" s="208"/>
      <c r="Y77" s="235">
        <f>W77+X77</f>
        <v>0.9</v>
      </c>
      <c r="Z77" s="235"/>
      <c r="AA77" s="235">
        <f>Y77+Z77</f>
        <v>0.9</v>
      </c>
      <c r="AB77" s="235">
        <v>-0.41</v>
      </c>
      <c r="AC77" s="235">
        <f>AA77+AB77</f>
        <v>0.49000000000000005</v>
      </c>
      <c r="AD77" s="235"/>
      <c r="AE77" s="235">
        <f>AC77+AD77</f>
        <v>0.49000000000000005</v>
      </c>
    </row>
    <row r="78" spans="1:31" ht="28.5" customHeight="1">
      <c r="A78" s="26" t="s">
        <v>183</v>
      </c>
      <c r="B78" s="48" t="s">
        <v>189</v>
      </c>
      <c r="C78" s="27" t="s">
        <v>3</v>
      </c>
      <c r="D78" s="27" t="s">
        <v>6</v>
      </c>
      <c r="E78" s="27" t="s">
        <v>69</v>
      </c>
      <c r="F78" s="27" t="s">
        <v>42</v>
      </c>
      <c r="G78" s="60">
        <v>15.5</v>
      </c>
      <c r="H78" s="88"/>
      <c r="I78" s="71">
        <f>G78+H78</f>
        <v>15.5</v>
      </c>
      <c r="J78" s="61">
        <v>-1</v>
      </c>
      <c r="K78" s="61">
        <f>I78+J78</f>
        <v>14.5</v>
      </c>
      <c r="L78" s="61"/>
      <c r="M78" s="61">
        <f>K78+L78</f>
        <v>14.5</v>
      </c>
      <c r="N78" s="61"/>
      <c r="O78" s="61">
        <f>M78+N78</f>
        <v>14.5</v>
      </c>
      <c r="P78" s="61"/>
      <c r="Q78" s="61">
        <f>O78+P78</f>
        <v>14.5</v>
      </c>
      <c r="R78" s="61">
        <v>-5.5</v>
      </c>
      <c r="S78" s="208">
        <f>Q78+R78</f>
        <v>9</v>
      </c>
      <c r="T78" s="208"/>
      <c r="U78" s="208">
        <f>S78+T78</f>
        <v>9</v>
      </c>
      <c r="V78" s="208">
        <v>0.1</v>
      </c>
      <c r="W78" s="208">
        <f>U78+V78</f>
        <v>9.1</v>
      </c>
      <c r="X78" s="208"/>
      <c r="Y78" s="235">
        <f>W78+X78</f>
        <v>9.1</v>
      </c>
      <c r="Z78" s="235"/>
      <c r="AA78" s="235">
        <f>Y78+Z78</f>
        <v>9.1</v>
      </c>
      <c r="AB78" s="235">
        <f>-1+1.41</f>
        <v>0.4099999999999999</v>
      </c>
      <c r="AC78" s="235">
        <f>AA78+AB78</f>
        <v>9.51</v>
      </c>
      <c r="AD78" s="235"/>
      <c r="AE78" s="235">
        <f>AC78+AD78</f>
        <v>9.51</v>
      </c>
    </row>
    <row r="79" spans="1:31" s="8" customFormat="1" ht="15.75" customHeight="1">
      <c r="A79" s="252" t="s">
        <v>370</v>
      </c>
      <c r="B79" s="47" t="s">
        <v>189</v>
      </c>
      <c r="C79" s="41" t="s">
        <v>3</v>
      </c>
      <c r="D79" s="41" t="s">
        <v>367</v>
      </c>
      <c r="E79" s="41"/>
      <c r="F79" s="41"/>
      <c r="G79" s="58"/>
      <c r="H79" s="92"/>
      <c r="I79" s="84"/>
      <c r="J79" s="62"/>
      <c r="K79" s="62"/>
      <c r="L79" s="62"/>
      <c r="M79" s="62"/>
      <c r="N79" s="62"/>
      <c r="O79" s="62"/>
      <c r="P79" s="62"/>
      <c r="Q79" s="62"/>
      <c r="R79" s="62"/>
      <c r="S79" s="210"/>
      <c r="T79" s="210"/>
      <c r="U79" s="210"/>
      <c r="V79" s="210"/>
      <c r="W79" s="210"/>
      <c r="X79" s="210"/>
      <c r="Y79" s="237">
        <f aca="true" t="shared" si="74" ref="Y79:AA81">Y80</f>
        <v>0</v>
      </c>
      <c r="Z79" s="237">
        <f t="shared" si="74"/>
        <v>27793.36</v>
      </c>
      <c r="AA79" s="237">
        <f t="shared" si="74"/>
        <v>27793.36</v>
      </c>
      <c r="AB79" s="237">
        <f aca="true" t="shared" si="75" ref="AB79:AE81">AB80</f>
        <v>0</v>
      </c>
      <c r="AC79" s="237">
        <f t="shared" si="75"/>
        <v>27793.36</v>
      </c>
      <c r="AD79" s="237">
        <f t="shared" si="75"/>
        <v>0</v>
      </c>
      <c r="AE79" s="237">
        <f t="shared" si="75"/>
        <v>27793.36</v>
      </c>
    </row>
    <row r="80" spans="1:31" ht="15.75">
      <c r="A80" s="251" t="s">
        <v>362</v>
      </c>
      <c r="B80" s="48" t="s">
        <v>189</v>
      </c>
      <c r="C80" s="27" t="s">
        <v>3</v>
      </c>
      <c r="D80" s="27" t="s">
        <v>367</v>
      </c>
      <c r="E80" s="27" t="s">
        <v>363</v>
      </c>
      <c r="F80" s="27"/>
      <c r="G80" s="60"/>
      <c r="H80" s="88"/>
      <c r="I80" s="71"/>
      <c r="J80" s="61"/>
      <c r="K80" s="61"/>
      <c r="L80" s="61"/>
      <c r="M80" s="61"/>
      <c r="N80" s="61"/>
      <c r="O80" s="61"/>
      <c r="P80" s="61"/>
      <c r="Q80" s="61"/>
      <c r="R80" s="61"/>
      <c r="S80" s="208"/>
      <c r="T80" s="208"/>
      <c r="U80" s="208"/>
      <c r="V80" s="208"/>
      <c r="W80" s="208"/>
      <c r="X80" s="208"/>
      <c r="Y80" s="235">
        <f t="shared" si="74"/>
        <v>0</v>
      </c>
      <c r="Z80" s="235">
        <f t="shared" si="74"/>
        <v>27793.36</v>
      </c>
      <c r="AA80" s="235">
        <f t="shared" si="74"/>
        <v>27793.36</v>
      </c>
      <c r="AB80" s="235">
        <f t="shared" si="75"/>
        <v>0</v>
      </c>
      <c r="AC80" s="235">
        <f t="shared" si="75"/>
        <v>27793.36</v>
      </c>
      <c r="AD80" s="235">
        <f t="shared" si="75"/>
        <v>0</v>
      </c>
      <c r="AE80" s="235">
        <f t="shared" si="75"/>
        <v>27793.36</v>
      </c>
    </row>
    <row r="81" spans="1:31" ht="38.25">
      <c r="A81" s="251" t="s">
        <v>369</v>
      </c>
      <c r="B81" s="48" t="s">
        <v>189</v>
      </c>
      <c r="C81" s="27" t="s">
        <v>3</v>
      </c>
      <c r="D81" s="27" t="s">
        <v>367</v>
      </c>
      <c r="E81" s="27" t="s">
        <v>368</v>
      </c>
      <c r="F81" s="27"/>
      <c r="G81" s="60"/>
      <c r="H81" s="88"/>
      <c r="I81" s="71"/>
      <c r="J81" s="61"/>
      <c r="K81" s="61"/>
      <c r="L81" s="61"/>
      <c r="M81" s="61"/>
      <c r="N81" s="61"/>
      <c r="O81" s="61"/>
      <c r="P81" s="61"/>
      <c r="Q81" s="61"/>
      <c r="R81" s="61"/>
      <c r="S81" s="208"/>
      <c r="T81" s="208"/>
      <c r="U81" s="208"/>
      <c r="V81" s="208"/>
      <c r="W81" s="208"/>
      <c r="X81" s="208"/>
      <c r="Y81" s="235">
        <f t="shared" si="74"/>
        <v>0</v>
      </c>
      <c r="Z81" s="235">
        <f t="shared" si="74"/>
        <v>27793.36</v>
      </c>
      <c r="AA81" s="235">
        <f t="shared" si="74"/>
        <v>27793.36</v>
      </c>
      <c r="AB81" s="235">
        <f t="shared" si="75"/>
        <v>0</v>
      </c>
      <c r="AC81" s="235">
        <f t="shared" si="75"/>
        <v>27793.36</v>
      </c>
      <c r="AD81" s="235">
        <f t="shared" si="75"/>
        <v>0</v>
      </c>
      <c r="AE81" s="235">
        <f t="shared" si="75"/>
        <v>27793.36</v>
      </c>
    </row>
    <row r="82" spans="1:31" ht="27.75" customHeight="1">
      <c r="A82" s="26" t="s">
        <v>183</v>
      </c>
      <c r="B82" s="48" t="s">
        <v>189</v>
      </c>
      <c r="C82" s="27" t="s">
        <v>3</v>
      </c>
      <c r="D82" s="27" t="s">
        <v>367</v>
      </c>
      <c r="E82" s="27" t="s">
        <v>368</v>
      </c>
      <c r="F82" s="27" t="s">
        <v>42</v>
      </c>
      <c r="G82" s="60"/>
      <c r="H82" s="88"/>
      <c r="I82" s="71"/>
      <c r="J82" s="61"/>
      <c r="K82" s="61"/>
      <c r="L82" s="61"/>
      <c r="M82" s="61"/>
      <c r="N82" s="61"/>
      <c r="O82" s="61"/>
      <c r="P82" s="61"/>
      <c r="Q82" s="61"/>
      <c r="R82" s="61"/>
      <c r="S82" s="208"/>
      <c r="T82" s="208"/>
      <c r="U82" s="208"/>
      <c r="V82" s="208"/>
      <c r="W82" s="208"/>
      <c r="X82" s="208"/>
      <c r="Y82" s="235"/>
      <c r="Z82" s="235">
        <v>27793.36</v>
      </c>
      <c r="AA82" s="235">
        <f>Y82+Z82</f>
        <v>27793.36</v>
      </c>
      <c r="AB82" s="235"/>
      <c r="AC82" s="235">
        <f>AA82+AB82</f>
        <v>27793.36</v>
      </c>
      <c r="AD82" s="235"/>
      <c r="AE82" s="235">
        <f>AC82+AD82</f>
        <v>27793.36</v>
      </c>
    </row>
    <row r="83" spans="1:31" s="39" customFormat="1" ht="15" customHeight="1">
      <c r="A83" s="68" t="s">
        <v>196</v>
      </c>
      <c r="B83" s="69">
        <v>310</v>
      </c>
      <c r="C83" s="70" t="s">
        <v>3</v>
      </c>
      <c r="D83" s="70" t="s">
        <v>5</v>
      </c>
      <c r="E83" s="34"/>
      <c r="F83" s="34"/>
      <c r="G83" s="75">
        <f aca="true" t="shared" si="76" ref="G83:M83">G87+G90</f>
        <v>238.095</v>
      </c>
      <c r="H83" s="75">
        <f t="shared" si="76"/>
        <v>3929.649</v>
      </c>
      <c r="I83" s="75">
        <f t="shared" si="76"/>
        <v>4167.744</v>
      </c>
      <c r="J83" s="75">
        <f t="shared" si="76"/>
        <v>0</v>
      </c>
      <c r="K83" s="75">
        <f t="shared" si="76"/>
        <v>4167.744</v>
      </c>
      <c r="L83" s="75">
        <f t="shared" si="76"/>
        <v>778.972</v>
      </c>
      <c r="M83" s="75">
        <f t="shared" si="76"/>
        <v>4946.715999999999</v>
      </c>
      <c r="N83" s="75">
        <f aca="true" t="shared" si="77" ref="N83:S83">N87+N90</f>
        <v>0</v>
      </c>
      <c r="O83" s="75">
        <f t="shared" si="77"/>
        <v>4946.715999999999</v>
      </c>
      <c r="P83" s="75">
        <f t="shared" si="77"/>
        <v>0</v>
      </c>
      <c r="Q83" s="75">
        <f t="shared" si="77"/>
        <v>4946.715999999999</v>
      </c>
      <c r="R83" s="75">
        <f t="shared" si="77"/>
        <v>0</v>
      </c>
      <c r="S83" s="211">
        <f t="shared" si="77"/>
        <v>4946.715999999999</v>
      </c>
      <c r="T83" s="211">
        <f>T87+T90</f>
        <v>0</v>
      </c>
      <c r="U83" s="211">
        <f>U87+U90</f>
        <v>4946.715999999999</v>
      </c>
      <c r="V83" s="211">
        <f>V87+V90</f>
        <v>0</v>
      </c>
      <c r="W83" s="211">
        <f>W87+W90</f>
        <v>4946.715999999999</v>
      </c>
      <c r="X83" s="218">
        <f>X87+X90</f>
        <v>200</v>
      </c>
      <c r="Y83" s="238">
        <f aca="true" t="shared" si="78" ref="Y83:AE83">Y87+Y90+Y84</f>
        <v>5146.715999999999</v>
      </c>
      <c r="Z83" s="238">
        <f t="shared" si="78"/>
        <v>13864.31</v>
      </c>
      <c r="AA83" s="238">
        <f t="shared" si="78"/>
        <v>19011.025999999998</v>
      </c>
      <c r="AB83" s="238">
        <f t="shared" si="78"/>
        <v>0</v>
      </c>
      <c r="AC83" s="238">
        <f t="shared" si="78"/>
        <v>19011.025999999998</v>
      </c>
      <c r="AD83" s="238">
        <f t="shared" si="78"/>
        <v>-9845.017</v>
      </c>
      <c r="AE83" s="238">
        <f t="shared" si="78"/>
        <v>9166.008999999998</v>
      </c>
    </row>
    <row r="84" spans="1:31" s="39" customFormat="1" ht="15" customHeight="1">
      <c r="A84" s="244" t="s">
        <v>362</v>
      </c>
      <c r="B84" s="245" t="s">
        <v>189</v>
      </c>
      <c r="C84" s="70" t="s">
        <v>3</v>
      </c>
      <c r="D84" s="70" t="s">
        <v>5</v>
      </c>
      <c r="E84" s="70" t="s">
        <v>363</v>
      </c>
      <c r="F84" s="70"/>
      <c r="G84" s="75"/>
      <c r="H84" s="75"/>
      <c r="I84" s="75"/>
      <c r="J84" s="75"/>
      <c r="K84" s="75"/>
      <c r="L84" s="75"/>
      <c r="M84" s="75"/>
      <c r="N84" s="75"/>
      <c r="O84" s="75"/>
      <c r="P84" s="75"/>
      <c r="Q84" s="75"/>
      <c r="R84" s="75"/>
      <c r="S84" s="211"/>
      <c r="T84" s="211"/>
      <c r="U84" s="211"/>
      <c r="V84" s="211"/>
      <c r="W84" s="211"/>
      <c r="X84" s="218"/>
      <c r="Y84" s="238">
        <f aca="true" t="shared" si="79" ref="Y84:AE85">Y85</f>
        <v>0</v>
      </c>
      <c r="Z84" s="238">
        <f t="shared" si="79"/>
        <v>14064.31</v>
      </c>
      <c r="AA84" s="238">
        <f t="shared" si="79"/>
        <v>14064.31</v>
      </c>
      <c r="AB84" s="238">
        <f t="shared" si="79"/>
        <v>0</v>
      </c>
      <c r="AC84" s="238">
        <f t="shared" si="79"/>
        <v>14064.31</v>
      </c>
      <c r="AD84" s="238">
        <f t="shared" si="79"/>
        <v>-9845.017</v>
      </c>
      <c r="AE84" s="238">
        <f t="shared" si="79"/>
        <v>4219.293</v>
      </c>
    </row>
    <row r="85" spans="1:31" s="39" customFormat="1" ht="51">
      <c r="A85" s="65" t="s">
        <v>364</v>
      </c>
      <c r="B85" s="97" t="s">
        <v>189</v>
      </c>
      <c r="C85" s="67" t="s">
        <v>3</v>
      </c>
      <c r="D85" s="67" t="s">
        <v>5</v>
      </c>
      <c r="E85" s="67" t="s">
        <v>365</v>
      </c>
      <c r="F85" s="67"/>
      <c r="G85" s="75"/>
      <c r="H85" s="75"/>
      <c r="I85" s="75"/>
      <c r="J85" s="75"/>
      <c r="K85" s="75"/>
      <c r="L85" s="75"/>
      <c r="M85" s="75"/>
      <c r="N85" s="75"/>
      <c r="O85" s="75"/>
      <c r="P85" s="75"/>
      <c r="Q85" s="75"/>
      <c r="R85" s="75"/>
      <c r="S85" s="211"/>
      <c r="T85" s="211"/>
      <c r="U85" s="211"/>
      <c r="V85" s="211"/>
      <c r="W85" s="211"/>
      <c r="X85" s="218"/>
      <c r="Y85" s="239">
        <f t="shared" si="79"/>
        <v>0</v>
      </c>
      <c r="Z85" s="239">
        <f t="shared" si="79"/>
        <v>14064.31</v>
      </c>
      <c r="AA85" s="239">
        <f t="shared" si="79"/>
        <v>14064.31</v>
      </c>
      <c r="AB85" s="239">
        <f t="shared" si="79"/>
        <v>0</v>
      </c>
      <c r="AC85" s="239">
        <f t="shared" si="79"/>
        <v>14064.31</v>
      </c>
      <c r="AD85" s="239">
        <f t="shared" si="79"/>
        <v>-9845.017</v>
      </c>
      <c r="AE85" s="239">
        <f t="shared" si="79"/>
        <v>4219.293</v>
      </c>
    </row>
    <row r="86" spans="1:31" s="39" customFormat="1" ht="27.75" customHeight="1">
      <c r="A86" s="26" t="s">
        <v>183</v>
      </c>
      <c r="B86" s="97" t="s">
        <v>189</v>
      </c>
      <c r="C86" s="67" t="s">
        <v>3</v>
      </c>
      <c r="D86" s="67" t="s">
        <v>5</v>
      </c>
      <c r="E86" s="67" t="s">
        <v>365</v>
      </c>
      <c r="F86" s="67" t="s">
        <v>42</v>
      </c>
      <c r="G86" s="75"/>
      <c r="H86" s="75"/>
      <c r="I86" s="75"/>
      <c r="J86" s="75"/>
      <c r="K86" s="75"/>
      <c r="L86" s="75"/>
      <c r="M86" s="75"/>
      <c r="N86" s="75"/>
      <c r="O86" s="75"/>
      <c r="P86" s="75"/>
      <c r="Q86" s="75"/>
      <c r="R86" s="75"/>
      <c r="S86" s="211"/>
      <c r="T86" s="211"/>
      <c r="U86" s="211"/>
      <c r="V86" s="211"/>
      <c r="W86" s="211"/>
      <c r="X86" s="218"/>
      <c r="Y86" s="239"/>
      <c r="Z86" s="239">
        <v>14064.31</v>
      </c>
      <c r="AA86" s="239">
        <f>Y86+Z86</f>
        <v>14064.31</v>
      </c>
      <c r="AB86" s="239"/>
      <c r="AC86" s="239">
        <f>AA86+AB86</f>
        <v>14064.31</v>
      </c>
      <c r="AD86" s="239">
        <v>-9845.017</v>
      </c>
      <c r="AE86" s="239">
        <f>AC86+AD86</f>
        <v>4219.293</v>
      </c>
    </row>
    <row r="87" spans="1:31" s="8" customFormat="1" ht="15.75">
      <c r="A87" s="65" t="s">
        <v>192</v>
      </c>
      <c r="B87" s="66">
        <v>310</v>
      </c>
      <c r="C87" s="67" t="s">
        <v>3</v>
      </c>
      <c r="D87" s="67" t="s">
        <v>5</v>
      </c>
      <c r="E87" s="67" t="s">
        <v>193</v>
      </c>
      <c r="F87" s="67"/>
      <c r="G87" s="72">
        <f aca="true" t="shared" si="80" ref="G87:V88">G88</f>
        <v>0</v>
      </c>
      <c r="H87" s="72">
        <f t="shared" si="80"/>
        <v>3959.3559999999998</v>
      </c>
      <c r="I87" s="72">
        <f t="shared" si="80"/>
        <v>3959.3559999999998</v>
      </c>
      <c r="J87" s="72">
        <f t="shared" si="80"/>
        <v>0</v>
      </c>
      <c r="K87" s="72">
        <f t="shared" si="80"/>
        <v>3959.3559999999998</v>
      </c>
      <c r="L87" s="72">
        <f t="shared" si="80"/>
        <v>778.972</v>
      </c>
      <c r="M87" s="72">
        <f t="shared" si="80"/>
        <v>4738.3279999999995</v>
      </c>
      <c r="N87" s="72">
        <f t="shared" si="80"/>
        <v>0</v>
      </c>
      <c r="O87" s="72">
        <f t="shared" si="80"/>
        <v>4738.3279999999995</v>
      </c>
      <c r="P87" s="72">
        <f t="shared" si="80"/>
        <v>0</v>
      </c>
      <c r="Q87" s="72">
        <f t="shared" si="80"/>
        <v>4738.3279999999995</v>
      </c>
      <c r="R87" s="72">
        <f t="shared" si="80"/>
        <v>0</v>
      </c>
      <c r="S87" s="212">
        <f t="shared" si="80"/>
        <v>4738.3279999999995</v>
      </c>
      <c r="T87" s="212">
        <f t="shared" si="80"/>
        <v>0</v>
      </c>
      <c r="U87" s="212">
        <f t="shared" si="80"/>
        <v>4738.3279999999995</v>
      </c>
      <c r="V87" s="212">
        <f t="shared" si="80"/>
        <v>0</v>
      </c>
      <c r="W87" s="212">
        <f aca="true" t="shared" si="81" ref="W87:AE88">W88</f>
        <v>4738.3279999999995</v>
      </c>
      <c r="X87" s="219">
        <f t="shared" si="81"/>
        <v>0</v>
      </c>
      <c r="Y87" s="239">
        <f t="shared" si="81"/>
        <v>4738.3279999999995</v>
      </c>
      <c r="Z87" s="239">
        <f t="shared" si="81"/>
        <v>0</v>
      </c>
      <c r="AA87" s="239">
        <f t="shared" si="81"/>
        <v>4738.3279999999995</v>
      </c>
      <c r="AB87" s="239">
        <f t="shared" si="81"/>
        <v>0</v>
      </c>
      <c r="AC87" s="239">
        <f t="shared" si="81"/>
        <v>4738.3279999999995</v>
      </c>
      <c r="AD87" s="239">
        <f t="shared" si="81"/>
        <v>0</v>
      </c>
      <c r="AE87" s="239">
        <f t="shared" si="81"/>
        <v>4738.3279999999995</v>
      </c>
    </row>
    <row r="88" spans="1:31" s="8" customFormat="1" ht="28.5" customHeight="1">
      <c r="A88" s="65" t="s">
        <v>194</v>
      </c>
      <c r="B88" s="66">
        <v>310</v>
      </c>
      <c r="C88" s="67" t="s">
        <v>3</v>
      </c>
      <c r="D88" s="67" t="s">
        <v>5</v>
      </c>
      <c r="E88" s="67" t="s">
        <v>195</v>
      </c>
      <c r="F88" s="67"/>
      <c r="G88" s="72">
        <f t="shared" si="80"/>
        <v>0</v>
      </c>
      <c r="H88" s="72">
        <f t="shared" si="80"/>
        <v>3959.3559999999998</v>
      </c>
      <c r="I88" s="72">
        <f t="shared" si="80"/>
        <v>3959.3559999999998</v>
      </c>
      <c r="J88" s="72">
        <f t="shared" si="80"/>
        <v>0</v>
      </c>
      <c r="K88" s="72">
        <f t="shared" si="80"/>
        <v>3959.3559999999998</v>
      </c>
      <c r="L88" s="72">
        <f t="shared" si="80"/>
        <v>778.972</v>
      </c>
      <c r="M88" s="72">
        <f t="shared" si="80"/>
        <v>4738.3279999999995</v>
      </c>
      <c r="N88" s="72">
        <f t="shared" si="80"/>
        <v>0</v>
      </c>
      <c r="O88" s="72">
        <f t="shared" si="80"/>
        <v>4738.3279999999995</v>
      </c>
      <c r="P88" s="72">
        <f t="shared" si="80"/>
        <v>0</v>
      </c>
      <c r="Q88" s="72">
        <f t="shared" si="80"/>
        <v>4738.3279999999995</v>
      </c>
      <c r="R88" s="72">
        <f t="shared" si="80"/>
        <v>0</v>
      </c>
      <c r="S88" s="212">
        <f t="shared" si="80"/>
        <v>4738.3279999999995</v>
      </c>
      <c r="T88" s="212">
        <f t="shared" si="80"/>
        <v>0</v>
      </c>
      <c r="U88" s="212">
        <f t="shared" si="80"/>
        <v>4738.3279999999995</v>
      </c>
      <c r="V88" s="212">
        <f>V89</f>
        <v>0</v>
      </c>
      <c r="W88" s="212">
        <f t="shared" si="81"/>
        <v>4738.3279999999995</v>
      </c>
      <c r="X88" s="219">
        <f t="shared" si="81"/>
        <v>0</v>
      </c>
      <c r="Y88" s="239">
        <f t="shared" si="81"/>
        <v>4738.3279999999995</v>
      </c>
      <c r="Z88" s="239">
        <f t="shared" si="81"/>
        <v>0</v>
      </c>
      <c r="AA88" s="239">
        <f t="shared" si="81"/>
        <v>4738.3279999999995</v>
      </c>
      <c r="AB88" s="239">
        <f t="shared" si="81"/>
        <v>0</v>
      </c>
      <c r="AC88" s="239">
        <f t="shared" si="81"/>
        <v>4738.3279999999995</v>
      </c>
      <c r="AD88" s="239">
        <f t="shared" si="81"/>
        <v>0</v>
      </c>
      <c r="AE88" s="239">
        <f t="shared" si="81"/>
        <v>4738.3279999999995</v>
      </c>
    </row>
    <row r="89" spans="1:31" s="8" customFormat="1" ht="28.5" customHeight="1">
      <c r="A89" s="26" t="s">
        <v>183</v>
      </c>
      <c r="B89" s="66">
        <v>310</v>
      </c>
      <c r="C89" s="67" t="s">
        <v>3</v>
      </c>
      <c r="D89" s="67" t="s">
        <v>5</v>
      </c>
      <c r="E89" s="67" t="s">
        <v>195</v>
      </c>
      <c r="F89" s="67" t="s">
        <v>42</v>
      </c>
      <c r="G89" s="73"/>
      <c r="H89" s="74">
        <f>415.524+3543.832</f>
        <v>3959.3559999999998</v>
      </c>
      <c r="I89" s="74">
        <f>G89+H89</f>
        <v>3959.3559999999998</v>
      </c>
      <c r="J89" s="74"/>
      <c r="K89" s="74">
        <f>I89+J89</f>
        <v>3959.3559999999998</v>
      </c>
      <c r="L89" s="74">
        <f>доходы!J61+доходы!J67</f>
        <v>778.972</v>
      </c>
      <c r="M89" s="74">
        <f>K89+L89</f>
        <v>4738.3279999999995</v>
      </c>
      <c r="N89" s="74"/>
      <c r="O89" s="74">
        <f>M89+N89</f>
        <v>4738.3279999999995</v>
      </c>
      <c r="P89" s="74"/>
      <c r="Q89" s="74">
        <f>O89+P89</f>
        <v>4738.3279999999995</v>
      </c>
      <c r="R89" s="74"/>
      <c r="S89" s="213">
        <f>Q89+R89</f>
        <v>4738.3279999999995</v>
      </c>
      <c r="T89" s="213"/>
      <c r="U89" s="213">
        <f>S89+T89</f>
        <v>4738.3279999999995</v>
      </c>
      <c r="V89" s="213"/>
      <c r="W89" s="213">
        <f>U89+V89</f>
        <v>4738.3279999999995</v>
      </c>
      <c r="X89" s="220"/>
      <c r="Y89" s="240">
        <f>W89+X89</f>
        <v>4738.3279999999995</v>
      </c>
      <c r="Z89" s="240"/>
      <c r="AA89" s="240">
        <f>Y89+Z89</f>
        <v>4738.3279999999995</v>
      </c>
      <c r="AB89" s="240"/>
      <c r="AC89" s="240">
        <f>AA89+AB89</f>
        <v>4738.3279999999995</v>
      </c>
      <c r="AD89" s="240"/>
      <c r="AE89" s="240">
        <f>AC89+AD89</f>
        <v>4738.3279999999995</v>
      </c>
    </row>
    <row r="90" spans="1:31" ht="13.5" customHeight="1">
      <c r="A90" s="26" t="s">
        <v>187</v>
      </c>
      <c r="B90" s="48" t="s">
        <v>189</v>
      </c>
      <c r="C90" s="104" t="s">
        <v>3</v>
      </c>
      <c r="D90" s="104" t="s">
        <v>5</v>
      </c>
      <c r="E90" s="104" t="s">
        <v>188</v>
      </c>
      <c r="F90" s="27"/>
      <c r="G90" s="77">
        <f aca="true" t="shared" si="82" ref="G90:M90">G91+G93</f>
        <v>238.095</v>
      </c>
      <c r="H90" s="77">
        <f t="shared" si="82"/>
        <v>-29.706999999999994</v>
      </c>
      <c r="I90" s="83">
        <f t="shared" si="82"/>
        <v>208.388</v>
      </c>
      <c r="J90" s="77">
        <f t="shared" si="82"/>
        <v>0</v>
      </c>
      <c r="K90" s="83">
        <f t="shared" si="82"/>
        <v>208.388</v>
      </c>
      <c r="L90" s="83">
        <f t="shared" si="82"/>
        <v>0</v>
      </c>
      <c r="M90" s="83">
        <f t="shared" si="82"/>
        <v>208.388</v>
      </c>
      <c r="N90" s="83">
        <f aca="true" t="shared" si="83" ref="N90:S90">N91+N93</f>
        <v>0</v>
      </c>
      <c r="O90" s="83">
        <f t="shared" si="83"/>
        <v>208.388</v>
      </c>
      <c r="P90" s="83">
        <f t="shared" si="83"/>
        <v>0</v>
      </c>
      <c r="Q90" s="83">
        <f t="shared" si="83"/>
        <v>208.388</v>
      </c>
      <c r="R90" s="83">
        <f t="shared" si="83"/>
        <v>0</v>
      </c>
      <c r="S90" s="207">
        <f t="shared" si="83"/>
        <v>208.388</v>
      </c>
      <c r="T90" s="207">
        <f aca="true" t="shared" si="84" ref="T90:Y90">T91+T93</f>
        <v>0</v>
      </c>
      <c r="U90" s="207">
        <f t="shared" si="84"/>
        <v>208.388</v>
      </c>
      <c r="V90" s="207">
        <f t="shared" si="84"/>
        <v>0</v>
      </c>
      <c r="W90" s="207">
        <f t="shared" si="84"/>
        <v>208.388</v>
      </c>
      <c r="X90" s="60">
        <f t="shared" si="84"/>
        <v>200</v>
      </c>
      <c r="Y90" s="234">
        <f t="shared" si="84"/>
        <v>408.38800000000003</v>
      </c>
      <c r="Z90" s="234">
        <f aca="true" t="shared" si="85" ref="Z90:AE90">Z91+Z93</f>
        <v>-200</v>
      </c>
      <c r="AA90" s="234">
        <f t="shared" si="85"/>
        <v>208.38800000000003</v>
      </c>
      <c r="AB90" s="234">
        <f t="shared" si="85"/>
        <v>0</v>
      </c>
      <c r="AC90" s="234">
        <f t="shared" si="85"/>
        <v>208.38800000000003</v>
      </c>
      <c r="AD90" s="234">
        <f t="shared" si="85"/>
        <v>0</v>
      </c>
      <c r="AE90" s="234">
        <f t="shared" si="85"/>
        <v>208.38800000000003</v>
      </c>
    </row>
    <row r="91" spans="1:31" ht="51" customHeight="1">
      <c r="A91" s="26" t="s">
        <v>201</v>
      </c>
      <c r="B91" s="48" t="s">
        <v>189</v>
      </c>
      <c r="C91" s="104" t="s">
        <v>3</v>
      </c>
      <c r="D91" s="104" t="s">
        <v>5</v>
      </c>
      <c r="E91" s="104" t="s">
        <v>197</v>
      </c>
      <c r="F91" s="104"/>
      <c r="G91" s="71">
        <f aca="true" t="shared" si="86" ref="G91:AE91">G92</f>
        <v>238.095</v>
      </c>
      <c r="H91" s="71">
        <f t="shared" si="86"/>
        <v>-216.225</v>
      </c>
      <c r="I91" s="71">
        <f t="shared" si="86"/>
        <v>21.870000000000005</v>
      </c>
      <c r="J91" s="71">
        <f t="shared" si="86"/>
        <v>0</v>
      </c>
      <c r="K91" s="71">
        <f t="shared" si="86"/>
        <v>21.870000000000005</v>
      </c>
      <c r="L91" s="71">
        <f t="shared" si="86"/>
        <v>0</v>
      </c>
      <c r="M91" s="71">
        <f t="shared" si="86"/>
        <v>21.870000000000005</v>
      </c>
      <c r="N91" s="71">
        <f t="shared" si="86"/>
        <v>0</v>
      </c>
      <c r="O91" s="71">
        <f t="shared" si="86"/>
        <v>21.870000000000005</v>
      </c>
      <c r="P91" s="71">
        <f t="shared" si="86"/>
        <v>0</v>
      </c>
      <c r="Q91" s="71">
        <f t="shared" si="86"/>
        <v>21.870000000000005</v>
      </c>
      <c r="R91" s="71">
        <f t="shared" si="86"/>
        <v>0</v>
      </c>
      <c r="S91" s="208">
        <f t="shared" si="86"/>
        <v>21.870000000000005</v>
      </c>
      <c r="T91" s="208">
        <f t="shared" si="86"/>
        <v>0</v>
      </c>
      <c r="U91" s="208">
        <f t="shared" si="86"/>
        <v>21.870000000000005</v>
      </c>
      <c r="V91" s="208">
        <f t="shared" si="86"/>
        <v>0</v>
      </c>
      <c r="W91" s="208">
        <f t="shared" si="86"/>
        <v>21.870000000000005</v>
      </c>
      <c r="X91" s="61">
        <f t="shared" si="86"/>
        <v>0</v>
      </c>
      <c r="Y91" s="235">
        <f t="shared" si="86"/>
        <v>21.870000000000005</v>
      </c>
      <c r="Z91" s="235">
        <f t="shared" si="86"/>
        <v>0</v>
      </c>
      <c r="AA91" s="235">
        <f t="shared" si="86"/>
        <v>21.870000000000005</v>
      </c>
      <c r="AB91" s="235">
        <f t="shared" si="86"/>
        <v>0</v>
      </c>
      <c r="AC91" s="235">
        <f t="shared" si="86"/>
        <v>21.870000000000005</v>
      </c>
      <c r="AD91" s="235">
        <f t="shared" si="86"/>
        <v>0</v>
      </c>
      <c r="AE91" s="235">
        <f t="shared" si="86"/>
        <v>21.870000000000005</v>
      </c>
    </row>
    <row r="92" spans="1:31" ht="28.5" customHeight="1">
      <c r="A92" s="26" t="s">
        <v>183</v>
      </c>
      <c r="B92" s="48" t="s">
        <v>189</v>
      </c>
      <c r="C92" s="104" t="s">
        <v>3</v>
      </c>
      <c r="D92" s="104" t="s">
        <v>5</v>
      </c>
      <c r="E92" s="104" t="s">
        <v>197</v>
      </c>
      <c r="F92" s="104" t="s">
        <v>42</v>
      </c>
      <c r="G92" s="71">
        <v>238.095</v>
      </c>
      <c r="H92" s="71">
        <f>-186.518-29.707</f>
        <v>-216.225</v>
      </c>
      <c r="I92" s="71">
        <f>G92+H92</f>
        <v>21.870000000000005</v>
      </c>
      <c r="J92" s="71"/>
      <c r="K92" s="71">
        <f>I92+J92</f>
        <v>21.870000000000005</v>
      </c>
      <c r="L92" s="71"/>
      <c r="M92" s="71">
        <f>K92+L92</f>
        <v>21.870000000000005</v>
      </c>
      <c r="N92" s="71"/>
      <c r="O92" s="71">
        <f>M92+N92</f>
        <v>21.870000000000005</v>
      </c>
      <c r="P92" s="71"/>
      <c r="Q92" s="71">
        <f>O92+P92</f>
        <v>21.870000000000005</v>
      </c>
      <c r="R92" s="71"/>
      <c r="S92" s="208">
        <f>Q92+R92</f>
        <v>21.870000000000005</v>
      </c>
      <c r="T92" s="208"/>
      <c r="U92" s="208">
        <f>S92+T92</f>
        <v>21.870000000000005</v>
      </c>
      <c r="V92" s="208"/>
      <c r="W92" s="208">
        <f>U92+V92</f>
        <v>21.870000000000005</v>
      </c>
      <c r="X92" s="61"/>
      <c r="Y92" s="235">
        <f>W92+X92</f>
        <v>21.870000000000005</v>
      </c>
      <c r="Z92" s="235"/>
      <c r="AA92" s="235">
        <f>Y92+Z92</f>
        <v>21.870000000000005</v>
      </c>
      <c r="AB92" s="235"/>
      <c r="AC92" s="235">
        <f>AA92+AB92</f>
        <v>21.870000000000005</v>
      </c>
      <c r="AD92" s="235"/>
      <c r="AE92" s="235">
        <f>AC92+AD92</f>
        <v>21.870000000000005</v>
      </c>
    </row>
    <row r="93" spans="1:31" ht="51">
      <c r="A93" s="26" t="s">
        <v>203</v>
      </c>
      <c r="B93" s="48" t="s">
        <v>189</v>
      </c>
      <c r="C93" s="104" t="s">
        <v>3</v>
      </c>
      <c r="D93" s="104" t="s">
        <v>5</v>
      </c>
      <c r="E93" s="104" t="s">
        <v>190</v>
      </c>
      <c r="F93" s="104"/>
      <c r="G93" s="71">
        <f aca="true" t="shared" si="87" ref="G93:AE93">G94</f>
        <v>0</v>
      </c>
      <c r="H93" s="71">
        <f t="shared" si="87"/>
        <v>186.518</v>
      </c>
      <c r="I93" s="71">
        <f t="shared" si="87"/>
        <v>186.518</v>
      </c>
      <c r="J93" s="71">
        <f t="shared" si="87"/>
        <v>0</v>
      </c>
      <c r="K93" s="71">
        <f t="shared" si="87"/>
        <v>186.518</v>
      </c>
      <c r="L93" s="71">
        <f t="shared" si="87"/>
        <v>0</v>
      </c>
      <c r="M93" s="71">
        <f t="shared" si="87"/>
        <v>186.518</v>
      </c>
      <c r="N93" s="71">
        <f t="shared" si="87"/>
        <v>0</v>
      </c>
      <c r="O93" s="71">
        <f t="shared" si="87"/>
        <v>186.518</v>
      </c>
      <c r="P93" s="71">
        <f t="shared" si="87"/>
        <v>0</v>
      </c>
      <c r="Q93" s="71">
        <f t="shared" si="87"/>
        <v>186.518</v>
      </c>
      <c r="R93" s="71">
        <f t="shared" si="87"/>
        <v>0</v>
      </c>
      <c r="S93" s="208">
        <f t="shared" si="87"/>
        <v>186.518</v>
      </c>
      <c r="T93" s="208">
        <f t="shared" si="87"/>
        <v>0</v>
      </c>
      <c r="U93" s="208">
        <f t="shared" si="87"/>
        <v>186.518</v>
      </c>
      <c r="V93" s="208">
        <f t="shared" si="87"/>
        <v>0</v>
      </c>
      <c r="W93" s="208">
        <f t="shared" si="87"/>
        <v>186.518</v>
      </c>
      <c r="X93" s="61">
        <f t="shared" si="87"/>
        <v>200</v>
      </c>
      <c r="Y93" s="235">
        <f t="shared" si="87"/>
        <v>386.51800000000003</v>
      </c>
      <c r="Z93" s="235">
        <f t="shared" si="87"/>
        <v>-200</v>
      </c>
      <c r="AA93" s="235">
        <f t="shared" si="87"/>
        <v>186.51800000000003</v>
      </c>
      <c r="AB93" s="235">
        <f t="shared" si="87"/>
        <v>0</v>
      </c>
      <c r="AC93" s="235">
        <f t="shared" si="87"/>
        <v>186.51800000000003</v>
      </c>
      <c r="AD93" s="235">
        <f t="shared" si="87"/>
        <v>0</v>
      </c>
      <c r="AE93" s="235">
        <f t="shared" si="87"/>
        <v>186.51800000000003</v>
      </c>
    </row>
    <row r="94" spans="1:31" ht="28.5" customHeight="1">
      <c r="A94" s="26" t="s">
        <v>183</v>
      </c>
      <c r="B94" s="48" t="s">
        <v>189</v>
      </c>
      <c r="C94" s="104" t="s">
        <v>3</v>
      </c>
      <c r="D94" s="104" t="s">
        <v>5</v>
      </c>
      <c r="E94" s="104" t="s">
        <v>190</v>
      </c>
      <c r="F94" s="104" t="s">
        <v>42</v>
      </c>
      <c r="G94" s="71"/>
      <c r="H94" s="71">
        <v>186.518</v>
      </c>
      <c r="I94" s="71">
        <f>G94+H94</f>
        <v>186.518</v>
      </c>
      <c r="J94" s="71"/>
      <c r="K94" s="71">
        <f>I94+J94</f>
        <v>186.518</v>
      </c>
      <c r="L94" s="71"/>
      <c r="M94" s="71">
        <f>K94+L94</f>
        <v>186.518</v>
      </c>
      <c r="N94" s="71"/>
      <c r="O94" s="71">
        <f>M94+N94</f>
        <v>186.518</v>
      </c>
      <c r="P94" s="71"/>
      <c r="Q94" s="71">
        <f>O94+P94</f>
        <v>186.518</v>
      </c>
      <c r="R94" s="71"/>
      <c r="S94" s="208">
        <f>Q94+R94</f>
        <v>186.518</v>
      </c>
      <c r="T94" s="208"/>
      <c r="U94" s="208">
        <f>S94+T94</f>
        <v>186.518</v>
      </c>
      <c r="V94" s="208"/>
      <c r="W94" s="208">
        <f>U94+V94</f>
        <v>186.518</v>
      </c>
      <c r="X94" s="61">
        <v>200</v>
      </c>
      <c r="Y94" s="235">
        <f>W94+X94</f>
        <v>386.51800000000003</v>
      </c>
      <c r="Z94" s="235">
        <v>-200</v>
      </c>
      <c r="AA94" s="235">
        <f>Y94+Z94</f>
        <v>186.51800000000003</v>
      </c>
      <c r="AB94" s="235"/>
      <c r="AC94" s="235">
        <f>AA94+AB94</f>
        <v>186.51800000000003</v>
      </c>
      <c r="AD94" s="235"/>
      <c r="AE94" s="235">
        <f>AC94+AD94</f>
        <v>186.51800000000003</v>
      </c>
    </row>
    <row r="95" spans="1:31" s="8" customFormat="1" ht="15" customHeight="1">
      <c r="A95" s="40" t="s">
        <v>70</v>
      </c>
      <c r="B95" s="47" t="s">
        <v>189</v>
      </c>
      <c r="C95" s="41" t="s">
        <v>6</v>
      </c>
      <c r="D95" s="41"/>
      <c r="E95" s="41"/>
      <c r="F95" s="41"/>
      <c r="G95" s="58">
        <f aca="true" t="shared" si="88" ref="G95:M95">G96+G111</f>
        <v>1044.145</v>
      </c>
      <c r="H95" s="58">
        <f t="shared" si="88"/>
        <v>16318.707</v>
      </c>
      <c r="I95" s="81">
        <f t="shared" si="88"/>
        <v>17362.852</v>
      </c>
      <c r="J95" s="58">
        <f t="shared" si="88"/>
        <v>0</v>
      </c>
      <c r="K95" s="81">
        <f t="shared" si="88"/>
        <v>17362.852</v>
      </c>
      <c r="L95" s="81">
        <f t="shared" si="88"/>
        <v>0</v>
      </c>
      <c r="M95" s="81">
        <f t="shared" si="88"/>
        <v>17362.852</v>
      </c>
      <c r="N95" s="81">
        <f aca="true" t="shared" si="89" ref="N95:S95">N96+N111</f>
        <v>200</v>
      </c>
      <c r="O95" s="81">
        <f t="shared" si="89"/>
        <v>17562.852</v>
      </c>
      <c r="P95" s="81">
        <f t="shared" si="89"/>
        <v>150</v>
      </c>
      <c r="Q95" s="81">
        <f t="shared" si="89"/>
        <v>17712.852</v>
      </c>
      <c r="R95" s="81">
        <f t="shared" si="89"/>
        <v>105</v>
      </c>
      <c r="S95" s="205">
        <f t="shared" si="89"/>
        <v>17817.852</v>
      </c>
      <c r="T95" s="205">
        <f aca="true" t="shared" si="90" ref="T95:Y95">T96+T111</f>
        <v>0</v>
      </c>
      <c r="U95" s="205">
        <f t="shared" si="90"/>
        <v>17817.852</v>
      </c>
      <c r="V95" s="205">
        <f t="shared" si="90"/>
        <v>1170</v>
      </c>
      <c r="W95" s="205">
        <f t="shared" si="90"/>
        <v>18987.852</v>
      </c>
      <c r="X95" s="205">
        <f t="shared" si="90"/>
        <v>10258.493</v>
      </c>
      <c r="Y95" s="232">
        <f t="shared" si="90"/>
        <v>29246.344999999998</v>
      </c>
      <c r="Z95" s="232">
        <f aca="true" t="shared" si="91" ref="Z95:AE95">Z96+Z111</f>
        <v>-106.9</v>
      </c>
      <c r="AA95" s="232">
        <f t="shared" si="91"/>
        <v>29139.445</v>
      </c>
      <c r="AB95" s="232">
        <f t="shared" si="91"/>
        <v>-1543.8157</v>
      </c>
      <c r="AC95" s="232">
        <f t="shared" si="91"/>
        <v>27595.6293</v>
      </c>
      <c r="AD95" s="232">
        <f t="shared" si="91"/>
        <v>0</v>
      </c>
      <c r="AE95" s="232">
        <f t="shared" si="91"/>
        <v>27595.6293</v>
      </c>
    </row>
    <row r="96" spans="1:31" s="39" customFormat="1" ht="14.25" customHeight="1">
      <c r="A96" s="32" t="s">
        <v>9</v>
      </c>
      <c r="B96" s="47" t="s">
        <v>189</v>
      </c>
      <c r="C96" s="34" t="s">
        <v>6</v>
      </c>
      <c r="D96" s="34" t="s">
        <v>2</v>
      </c>
      <c r="E96" s="34"/>
      <c r="F96" s="34"/>
      <c r="G96" s="59">
        <f aca="true" t="shared" si="92" ref="G96:M96">G103+G105+G108</f>
        <v>297.25</v>
      </c>
      <c r="H96" s="59">
        <f t="shared" si="92"/>
        <v>16000</v>
      </c>
      <c r="I96" s="82">
        <f t="shared" si="92"/>
        <v>16297.25</v>
      </c>
      <c r="J96" s="59">
        <f t="shared" si="92"/>
        <v>0</v>
      </c>
      <c r="K96" s="82">
        <f t="shared" si="92"/>
        <v>16297.25</v>
      </c>
      <c r="L96" s="82">
        <f t="shared" si="92"/>
        <v>0</v>
      </c>
      <c r="M96" s="82">
        <f t="shared" si="92"/>
        <v>16297.25</v>
      </c>
      <c r="N96" s="82">
        <f aca="true" t="shared" si="93" ref="N96:S96">N103+N105+N108</f>
        <v>0</v>
      </c>
      <c r="O96" s="82">
        <f t="shared" si="93"/>
        <v>16297.25</v>
      </c>
      <c r="P96" s="82">
        <f t="shared" si="93"/>
        <v>0</v>
      </c>
      <c r="Q96" s="82">
        <f t="shared" si="93"/>
        <v>16297.25</v>
      </c>
      <c r="R96" s="82">
        <f t="shared" si="93"/>
        <v>0</v>
      </c>
      <c r="S96" s="206">
        <f t="shared" si="93"/>
        <v>16297.25</v>
      </c>
      <c r="T96" s="206">
        <f>T103+T105+T108</f>
        <v>0</v>
      </c>
      <c r="U96" s="206">
        <f>U103+U105+U108</f>
        <v>16297.25</v>
      </c>
      <c r="V96" s="206">
        <f>V103+V105+V108</f>
        <v>0</v>
      </c>
      <c r="W96" s="206">
        <f aca="true" t="shared" si="94" ref="W96:AC96">W103+W105+W108+W97</f>
        <v>16297.25</v>
      </c>
      <c r="X96" s="206">
        <f t="shared" si="94"/>
        <v>10063.759</v>
      </c>
      <c r="Y96" s="233">
        <f t="shared" si="94"/>
        <v>26361.009</v>
      </c>
      <c r="Z96" s="233">
        <f t="shared" si="94"/>
        <v>0</v>
      </c>
      <c r="AA96" s="233">
        <f t="shared" si="94"/>
        <v>26361.009</v>
      </c>
      <c r="AB96" s="233">
        <f t="shared" si="94"/>
        <v>-1543.8157</v>
      </c>
      <c r="AC96" s="233">
        <f t="shared" si="94"/>
        <v>24817.1933</v>
      </c>
      <c r="AD96" s="233">
        <f>AD103+AD105+AD108+AD97</f>
        <v>0</v>
      </c>
      <c r="AE96" s="233">
        <f>AE103+AE105+AE108+AE97</f>
        <v>24817.1933</v>
      </c>
    </row>
    <row r="97" spans="1:31" s="33" customFormat="1" ht="27">
      <c r="A97" s="32" t="s">
        <v>343</v>
      </c>
      <c r="B97" s="48" t="s">
        <v>189</v>
      </c>
      <c r="C97" s="27" t="s">
        <v>6</v>
      </c>
      <c r="D97" s="27" t="s">
        <v>2</v>
      </c>
      <c r="E97" s="27" t="s">
        <v>341</v>
      </c>
      <c r="F97" s="27"/>
      <c r="G97" s="60"/>
      <c r="H97" s="60"/>
      <c r="I97" s="83"/>
      <c r="J97" s="60"/>
      <c r="K97" s="83"/>
      <c r="L97" s="83"/>
      <c r="M97" s="83"/>
      <c r="N97" s="83"/>
      <c r="O97" s="83"/>
      <c r="P97" s="83"/>
      <c r="Q97" s="83"/>
      <c r="R97" s="83"/>
      <c r="S97" s="207"/>
      <c r="T97" s="207"/>
      <c r="U97" s="207"/>
      <c r="V97" s="207"/>
      <c r="W97" s="207">
        <f aca="true" t="shared" si="95" ref="W97:AE98">W98</f>
        <v>0</v>
      </c>
      <c r="X97" s="207">
        <f t="shared" si="95"/>
        <v>10063.759</v>
      </c>
      <c r="Y97" s="234">
        <f t="shared" si="95"/>
        <v>10063.759</v>
      </c>
      <c r="Z97" s="234">
        <f t="shared" si="95"/>
        <v>0</v>
      </c>
      <c r="AA97" s="234">
        <f t="shared" si="95"/>
        <v>10063.759</v>
      </c>
      <c r="AB97" s="234">
        <f t="shared" si="95"/>
        <v>-1543.8157</v>
      </c>
      <c r="AC97" s="234">
        <f t="shared" si="95"/>
        <v>8519.943299999999</v>
      </c>
      <c r="AD97" s="234">
        <f t="shared" si="95"/>
        <v>0</v>
      </c>
      <c r="AE97" s="234">
        <f t="shared" si="95"/>
        <v>8519.943299999999</v>
      </c>
    </row>
    <row r="98" spans="1:31" s="33" customFormat="1" ht="27.75" customHeight="1">
      <c r="A98" s="26" t="s">
        <v>183</v>
      </c>
      <c r="B98" s="48" t="s">
        <v>189</v>
      </c>
      <c r="C98" s="27" t="s">
        <v>6</v>
      </c>
      <c r="D98" s="27" t="s">
        <v>2</v>
      </c>
      <c r="E98" s="27" t="s">
        <v>342</v>
      </c>
      <c r="F98" s="27"/>
      <c r="G98" s="60"/>
      <c r="H98" s="60"/>
      <c r="I98" s="83"/>
      <c r="J98" s="60"/>
      <c r="K98" s="83"/>
      <c r="L98" s="83"/>
      <c r="M98" s="83"/>
      <c r="N98" s="83"/>
      <c r="O98" s="83"/>
      <c r="P98" s="83"/>
      <c r="Q98" s="83"/>
      <c r="R98" s="83"/>
      <c r="S98" s="207"/>
      <c r="T98" s="207"/>
      <c r="U98" s="207"/>
      <c r="V98" s="207"/>
      <c r="W98" s="207">
        <f t="shared" si="95"/>
        <v>0</v>
      </c>
      <c r="X98" s="207">
        <f t="shared" si="95"/>
        <v>10063.759</v>
      </c>
      <c r="Y98" s="234">
        <f t="shared" si="95"/>
        <v>10063.759</v>
      </c>
      <c r="Z98" s="234">
        <f t="shared" si="95"/>
        <v>0</v>
      </c>
      <c r="AA98" s="234">
        <f t="shared" si="95"/>
        <v>10063.759</v>
      </c>
      <c r="AB98" s="234">
        <f t="shared" si="95"/>
        <v>-1543.8157</v>
      </c>
      <c r="AC98" s="234">
        <f t="shared" si="95"/>
        <v>8519.943299999999</v>
      </c>
      <c r="AD98" s="234">
        <f t="shared" si="95"/>
        <v>0</v>
      </c>
      <c r="AE98" s="234">
        <f t="shared" si="95"/>
        <v>8519.943299999999</v>
      </c>
    </row>
    <row r="99" spans="1:31" s="33" customFormat="1" ht="15.75">
      <c r="A99" s="32"/>
      <c r="B99" s="48" t="s">
        <v>189</v>
      </c>
      <c r="C99" s="27" t="s">
        <v>6</v>
      </c>
      <c r="D99" s="27" t="s">
        <v>2</v>
      </c>
      <c r="E99" s="27" t="s">
        <v>342</v>
      </c>
      <c r="F99" s="27" t="s">
        <v>42</v>
      </c>
      <c r="G99" s="60"/>
      <c r="H99" s="60"/>
      <c r="I99" s="83"/>
      <c r="J99" s="60"/>
      <c r="K99" s="83"/>
      <c r="L99" s="83"/>
      <c r="M99" s="83"/>
      <c r="N99" s="83"/>
      <c r="O99" s="83"/>
      <c r="P99" s="83"/>
      <c r="Q99" s="83"/>
      <c r="R99" s="83"/>
      <c r="S99" s="207"/>
      <c r="T99" s="207"/>
      <c r="U99" s="207"/>
      <c r="V99" s="207"/>
      <c r="W99" s="207"/>
      <c r="X99" s="207">
        <v>10063.759</v>
      </c>
      <c r="Y99" s="234">
        <f>W99+X99</f>
        <v>10063.759</v>
      </c>
      <c r="Z99" s="234"/>
      <c r="AA99" s="234">
        <f>Y99+Z99</f>
        <v>10063.759</v>
      </c>
      <c r="AB99" s="234">
        <v>-1543.8157</v>
      </c>
      <c r="AC99" s="234">
        <f>AA99+AB99</f>
        <v>8519.943299999999</v>
      </c>
      <c r="AD99" s="234"/>
      <c r="AE99" s="234">
        <f>AC99+AD99</f>
        <v>8519.943299999999</v>
      </c>
    </row>
    <row r="100" spans="1:31" s="230" customFormat="1" ht="26.25" customHeight="1" hidden="1">
      <c r="A100" s="224" t="s">
        <v>149</v>
      </c>
      <c r="B100" s="225" t="s">
        <v>189</v>
      </c>
      <c r="C100" s="226" t="s">
        <v>6</v>
      </c>
      <c r="D100" s="226" t="s">
        <v>2</v>
      </c>
      <c r="E100" s="226" t="s">
        <v>71</v>
      </c>
      <c r="F100" s="226"/>
      <c r="G100" s="227">
        <f aca="true" t="shared" si="96" ref="G100:V101">G101</f>
        <v>0</v>
      </c>
      <c r="H100" s="227">
        <f t="shared" si="96"/>
        <v>1</v>
      </c>
      <c r="I100" s="228">
        <f t="shared" si="96"/>
        <v>2</v>
      </c>
      <c r="J100" s="227">
        <f t="shared" si="96"/>
        <v>1</v>
      </c>
      <c r="K100" s="228">
        <f t="shared" si="96"/>
        <v>2</v>
      </c>
      <c r="L100" s="228">
        <f t="shared" si="96"/>
        <v>3</v>
      </c>
      <c r="M100" s="228">
        <f t="shared" si="96"/>
        <v>4</v>
      </c>
      <c r="N100" s="228">
        <f t="shared" si="96"/>
        <v>5</v>
      </c>
      <c r="O100" s="228">
        <f t="shared" si="96"/>
        <v>6</v>
      </c>
      <c r="P100" s="228">
        <f t="shared" si="96"/>
        <v>6</v>
      </c>
      <c r="Q100" s="228">
        <f t="shared" si="96"/>
        <v>6</v>
      </c>
      <c r="R100" s="228">
        <f t="shared" si="96"/>
        <v>6</v>
      </c>
      <c r="S100" s="229">
        <f t="shared" si="96"/>
        <v>6</v>
      </c>
      <c r="T100" s="229">
        <f t="shared" si="96"/>
        <v>6</v>
      </c>
      <c r="U100" s="229">
        <f t="shared" si="96"/>
        <v>6</v>
      </c>
      <c r="V100" s="229">
        <f t="shared" si="96"/>
        <v>6</v>
      </c>
      <c r="W100" s="229">
        <f aca="true" t="shared" si="97" ref="W100:AE101">W101</f>
        <v>6</v>
      </c>
      <c r="X100" s="229">
        <f t="shared" si="97"/>
        <v>0</v>
      </c>
      <c r="Y100" s="241">
        <f t="shared" si="97"/>
        <v>0</v>
      </c>
      <c r="Z100" s="241">
        <f t="shared" si="97"/>
        <v>0</v>
      </c>
      <c r="AA100" s="241">
        <f t="shared" si="97"/>
        <v>0</v>
      </c>
      <c r="AB100" s="241">
        <f t="shared" si="97"/>
        <v>0</v>
      </c>
      <c r="AC100" s="241">
        <f t="shared" si="97"/>
        <v>0</v>
      </c>
      <c r="AD100" s="241">
        <f t="shared" si="97"/>
        <v>0</v>
      </c>
      <c r="AE100" s="241">
        <f t="shared" si="97"/>
        <v>0</v>
      </c>
    </row>
    <row r="101" spans="1:31" s="230" customFormat="1" ht="39" customHeight="1" hidden="1">
      <c r="A101" s="224" t="s">
        <v>73</v>
      </c>
      <c r="B101" s="225" t="s">
        <v>189</v>
      </c>
      <c r="C101" s="226" t="s">
        <v>6</v>
      </c>
      <c r="D101" s="226" t="s">
        <v>2</v>
      </c>
      <c r="E101" s="226" t="s">
        <v>72</v>
      </c>
      <c r="F101" s="226"/>
      <c r="G101" s="227">
        <f t="shared" si="96"/>
        <v>0</v>
      </c>
      <c r="H101" s="227">
        <f t="shared" si="96"/>
        <v>1</v>
      </c>
      <c r="I101" s="228">
        <f t="shared" si="96"/>
        <v>2</v>
      </c>
      <c r="J101" s="227">
        <f t="shared" si="96"/>
        <v>1</v>
      </c>
      <c r="K101" s="228">
        <f t="shared" si="96"/>
        <v>2</v>
      </c>
      <c r="L101" s="228">
        <f t="shared" si="96"/>
        <v>3</v>
      </c>
      <c r="M101" s="228">
        <f t="shared" si="96"/>
        <v>4</v>
      </c>
      <c r="N101" s="228">
        <f t="shared" si="96"/>
        <v>5</v>
      </c>
      <c r="O101" s="228">
        <f t="shared" si="96"/>
        <v>6</v>
      </c>
      <c r="P101" s="228">
        <f t="shared" si="96"/>
        <v>6</v>
      </c>
      <c r="Q101" s="228">
        <f t="shared" si="96"/>
        <v>6</v>
      </c>
      <c r="R101" s="228">
        <f t="shared" si="96"/>
        <v>6</v>
      </c>
      <c r="S101" s="229">
        <f t="shared" si="96"/>
        <v>6</v>
      </c>
      <c r="T101" s="229">
        <f t="shared" si="96"/>
        <v>6</v>
      </c>
      <c r="U101" s="229">
        <f t="shared" si="96"/>
        <v>6</v>
      </c>
      <c r="V101" s="229">
        <f>V102</f>
        <v>6</v>
      </c>
      <c r="W101" s="229">
        <f t="shared" si="97"/>
        <v>6</v>
      </c>
      <c r="X101" s="229">
        <f t="shared" si="97"/>
        <v>0</v>
      </c>
      <c r="Y101" s="241">
        <f t="shared" si="97"/>
        <v>0</v>
      </c>
      <c r="Z101" s="241">
        <f t="shared" si="97"/>
        <v>0</v>
      </c>
      <c r="AA101" s="241">
        <f t="shared" si="97"/>
        <v>0</v>
      </c>
      <c r="AB101" s="241">
        <f t="shared" si="97"/>
        <v>0</v>
      </c>
      <c r="AC101" s="241">
        <f t="shared" si="97"/>
        <v>0</v>
      </c>
      <c r="AD101" s="241">
        <f t="shared" si="97"/>
        <v>0</v>
      </c>
      <c r="AE101" s="241">
        <f t="shared" si="97"/>
        <v>0</v>
      </c>
    </row>
    <row r="102" spans="1:31" s="230" customFormat="1" ht="48" customHeight="1" hidden="1">
      <c r="A102" s="224" t="s">
        <v>75</v>
      </c>
      <c r="B102" s="225" t="s">
        <v>189</v>
      </c>
      <c r="C102" s="226" t="s">
        <v>6</v>
      </c>
      <c r="D102" s="226" t="s">
        <v>2</v>
      </c>
      <c r="E102" s="226" t="s">
        <v>74</v>
      </c>
      <c r="F102" s="226" t="s">
        <v>76</v>
      </c>
      <c r="G102" s="227">
        <v>0</v>
      </c>
      <c r="H102" s="227">
        <v>1</v>
      </c>
      <c r="I102" s="228">
        <v>2</v>
      </c>
      <c r="J102" s="227">
        <v>1</v>
      </c>
      <c r="K102" s="228">
        <v>2</v>
      </c>
      <c r="L102" s="228">
        <v>3</v>
      </c>
      <c r="M102" s="228">
        <v>4</v>
      </c>
      <c r="N102" s="228">
        <v>5</v>
      </c>
      <c r="O102" s="228">
        <v>6</v>
      </c>
      <c r="P102" s="228">
        <v>6</v>
      </c>
      <c r="Q102" s="228">
        <v>6</v>
      </c>
      <c r="R102" s="228">
        <v>6</v>
      </c>
      <c r="S102" s="229">
        <v>6</v>
      </c>
      <c r="T102" s="229">
        <v>6</v>
      </c>
      <c r="U102" s="229">
        <v>6</v>
      </c>
      <c r="V102" s="229">
        <v>6</v>
      </c>
      <c r="W102" s="229">
        <v>6</v>
      </c>
      <c r="X102" s="229"/>
      <c r="Y102" s="241">
        <v>0</v>
      </c>
      <c r="Z102" s="241">
        <v>0</v>
      </c>
      <c r="AA102" s="241">
        <v>0</v>
      </c>
      <c r="AB102" s="241">
        <v>0</v>
      </c>
      <c r="AC102" s="241">
        <v>0</v>
      </c>
      <c r="AD102" s="241">
        <v>0</v>
      </c>
      <c r="AE102" s="241">
        <v>0</v>
      </c>
    </row>
    <row r="103" spans="1:31" ht="15.75">
      <c r="A103" s="26" t="s">
        <v>21</v>
      </c>
      <c r="B103" s="48" t="s">
        <v>189</v>
      </c>
      <c r="C103" s="27" t="s">
        <v>6</v>
      </c>
      <c r="D103" s="27" t="s">
        <v>2</v>
      </c>
      <c r="E103" s="27" t="s">
        <v>152</v>
      </c>
      <c r="F103" s="27"/>
      <c r="G103" s="60">
        <f aca="true" t="shared" si="98" ref="G103:AE103">G104</f>
        <v>297.25</v>
      </c>
      <c r="H103" s="60">
        <f t="shared" si="98"/>
        <v>0</v>
      </c>
      <c r="I103" s="83">
        <f t="shared" si="98"/>
        <v>297.25</v>
      </c>
      <c r="J103" s="60">
        <f t="shared" si="98"/>
        <v>0</v>
      </c>
      <c r="K103" s="83">
        <f t="shared" si="98"/>
        <v>297.25</v>
      </c>
      <c r="L103" s="83">
        <f t="shared" si="98"/>
        <v>0</v>
      </c>
      <c r="M103" s="83">
        <f t="shared" si="98"/>
        <v>297.25</v>
      </c>
      <c r="N103" s="83">
        <f t="shared" si="98"/>
        <v>0</v>
      </c>
      <c r="O103" s="83">
        <f t="shared" si="98"/>
        <v>297.25</v>
      </c>
      <c r="P103" s="83">
        <f t="shared" si="98"/>
        <v>0</v>
      </c>
      <c r="Q103" s="83">
        <f t="shared" si="98"/>
        <v>297.25</v>
      </c>
      <c r="R103" s="83">
        <f t="shared" si="98"/>
        <v>0</v>
      </c>
      <c r="S103" s="207">
        <f t="shared" si="98"/>
        <v>297.25</v>
      </c>
      <c r="T103" s="207">
        <f t="shared" si="98"/>
        <v>0</v>
      </c>
      <c r="U103" s="207">
        <f t="shared" si="98"/>
        <v>297.25</v>
      </c>
      <c r="V103" s="207">
        <f t="shared" si="98"/>
        <v>0</v>
      </c>
      <c r="W103" s="207">
        <f t="shared" si="98"/>
        <v>297.25</v>
      </c>
      <c r="X103" s="207">
        <f t="shared" si="98"/>
        <v>0</v>
      </c>
      <c r="Y103" s="234">
        <f t="shared" si="98"/>
        <v>297.25</v>
      </c>
      <c r="Z103" s="234">
        <f t="shared" si="98"/>
        <v>0</v>
      </c>
      <c r="AA103" s="234">
        <f t="shared" si="98"/>
        <v>297.25</v>
      </c>
      <c r="AB103" s="234">
        <f t="shared" si="98"/>
        <v>0</v>
      </c>
      <c r="AC103" s="234">
        <f t="shared" si="98"/>
        <v>297.25</v>
      </c>
      <c r="AD103" s="234">
        <f t="shared" si="98"/>
        <v>0</v>
      </c>
      <c r="AE103" s="234">
        <f t="shared" si="98"/>
        <v>297.25</v>
      </c>
    </row>
    <row r="104" spans="1:31" ht="32.25" customHeight="1">
      <c r="A104" s="26" t="s">
        <v>183</v>
      </c>
      <c r="B104" s="48" t="s">
        <v>189</v>
      </c>
      <c r="C104" s="27" t="s">
        <v>6</v>
      </c>
      <c r="D104" s="27" t="s">
        <v>2</v>
      </c>
      <c r="E104" s="27" t="s">
        <v>153</v>
      </c>
      <c r="F104" s="27" t="s">
        <v>42</v>
      </c>
      <c r="G104" s="60">
        <v>297.25</v>
      </c>
      <c r="H104" s="88"/>
      <c r="I104" s="71">
        <f>G104+H104</f>
        <v>297.25</v>
      </c>
      <c r="J104" s="88"/>
      <c r="K104" s="71">
        <f>I104+J104</f>
        <v>297.25</v>
      </c>
      <c r="L104" s="71"/>
      <c r="M104" s="71">
        <f>K104+L104</f>
        <v>297.25</v>
      </c>
      <c r="N104" s="71"/>
      <c r="O104" s="71">
        <f>M104+N104</f>
        <v>297.25</v>
      </c>
      <c r="P104" s="71"/>
      <c r="Q104" s="71">
        <f>O104+P104</f>
        <v>297.25</v>
      </c>
      <c r="R104" s="71"/>
      <c r="S104" s="208">
        <f>Q104+R104</f>
        <v>297.25</v>
      </c>
      <c r="T104" s="208"/>
      <c r="U104" s="208">
        <f>S104+T104</f>
        <v>297.25</v>
      </c>
      <c r="V104" s="208"/>
      <c r="W104" s="208">
        <f>U104+V104</f>
        <v>297.25</v>
      </c>
      <c r="X104" s="208"/>
      <c r="Y104" s="235">
        <f>W104+X104</f>
        <v>297.25</v>
      </c>
      <c r="Z104" s="235"/>
      <c r="AA104" s="235">
        <f>Y104+Z104</f>
        <v>297.25</v>
      </c>
      <c r="AB104" s="235"/>
      <c r="AC104" s="235">
        <f>AA104+AB104</f>
        <v>297.25</v>
      </c>
      <c r="AD104" s="235"/>
      <c r="AE104" s="235">
        <f>AC104+AD104</f>
        <v>297.25</v>
      </c>
    </row>
    <row r="105" spans="1:31" ht="15.75">
      <c r="A105" s="65" t="s">
        <v>192</v>
      </c>
      <c r="B105" s="48" t="s">
        <v>189</v>
      </c>
      <c r="C105" s="27" t="s">
        <v>6</v>
      </c>
      <c r="D105" s="27" t="s">
        <v>2</v>
      </c>
      <c r="E105" s="27" t="s">
        <v>193</v>
      </c>
      <c r="F105" s="27"/>
      <c r="G105" s="60">
        <f aca="true" t="shared" si="99" ref="G105:V106">G106</f>
        <v>0</v>
      </c>
      <c r="H105" s="60">
        <f t="shared" si="99"/>
        <v>14400</v>
      </c>
      <c r="I105" s="83">
        <f t="shared" si="99"/>
        <v>14400</v>
      </c>
      <c r="J105" s="60">
        <f t="shared" si="99"/>
        <v>0</v>
      </c>
      <c r="K105" s="83">
        <f t="shared" si="99"/>
        <v>14400</v>
      </c>
      <c r="L105" s="83">
        <f t="shared" si="99"/>
        <v>0</v>
      </c>
      <c r="M105" s="83">
        <f t="shared" si="99"/>
        <v>14400</v>
      </c>
      <c r="N105" s="83">
        <f t="shared" si="99"/>
        <v>0</v>
      </c>
      <c r="O105" s="83">
        <f t="shared" si="99"/>
        <v>14400</v>
      </c>
      <c r="P105" s="83">
        <f t="shared" si="99"/>
        <v>0</v>
      </c>
      <c r="Q105" s="83">
        <f t="shared" si="99"/>
        <v>14400</v>
      </c>
      <c r="R105" s="83">
        <f t="shared" si="99"/>
        <v>0</v>
      </c>
      <c r="S105" s="207">
        <f t="shared" si="99"/>
        <v>14400</v>
      </c>
      <c r="T105" s="207">
        <f t="shared" si="99"/>
        <v>0</v>
      </c>
      <c r="U105" s="207">
        <f t="shared" si="99"/>
        <v>14400</v>
      </c>
      <c r="V105" s="207">
        <f t="shared" si="99"/>
        <v>0</v>
      </c>
      <c r="W105" s="207">
        <f aca="true" t="shared" si="100" ref="W105:AE106">W106</f>
        <v>14400</v>
      </c>
      <c r="X105" s="207">
        <f t="shared" si="100"/>
        <v>0</v>
      </c>
      <c r="Y105" s="234">
        <f t="shared" si="100"/>
        <v>14400</v>
      </c>
      <c r="Z105" s="234">
        <f t="shared" si="100"/>
        <v>0</v>
      </c>
      <c r="AA105" s="234">
        <f t="shared" si="100"/>
        <v>14400</v>
      </c>
      <c r="AB105" s="234">
        <f t="shared" si="100"/>
        <v>0</v>
      </c>
      <c r="AC105" s="234">
        <f t="shared" si="100"/>
        <v>14400</v>
      </c>
      <c r="AD105" s="234">
        <f t="shared" si="100"/>
        <v>0</v>
      </c>
      <c r="AE105" s="234">
        <f t="shared" si="100"/>
        <v>14400</v>
      </c>
    </row>
    <row r="106" spans="1:31" ht="38.25">
      <c r="A106" s="26" t="s">
        <v>198</v>
      </c>
      <c r="B106" s="48" t="s">
        <v>189</v>
      </c>
      <c r="C106" s="27" t="s">
        <v>6</v>
      </c>
      <c r="D106" s="27" t="s">
        <v>2</v>
      </c>
      <c r="E106" s="27" t="s">
        <v>199</v>
      </c>
      <c r="F106" s="27"/>
      <c r="G106" s="60">
        <f t="shared" si="99"/>
        <v>0</v>
      </c>
      <c r="H106" s="60">
        <f t="shared" si="99"/>
        <v>14400</v>
      </c>
      <c r="I106" s="83">
        <f t="shared" si="99"/>
        <v>14400</v>
      </c>
      <c r="J106" s="60">
        <f t="shared" si="99"/>
        <v>0</v>
      </c>
      <c r="K106" s="83">
        <f t="shared" si="99"/>
        <v>14400</v>
      </c>
      <c r="L106" s="83">
        <f t="shared" si="99"/>
        <v>0</v>
      </c>
      <c r="M106" s="83">
        <f t="shared" si="99"/>
        <v>14400</v>
      </c>
      <c r="N106" s="83">
        <f t="shared" si="99"/>
        <v>0</v>
      </c>
      <c r="O106" s="83">
        <f t="shared" si="99"/>
        <v>14400</v>
      </c>
      <c r="P106" s="83">
        <f t="shared" si="99"/>
        <v>0</v>
      </c>
      <c r="Q106" s="83">
        <f t="shared" si="99"/>
        <v>14400</v>
      </c>
      <c r="R106" s="83">
        <f t="shared" si="99"/>
        <v>0</v>
      </c>
      <c r="S106" s="207">
        <f t="shared" si="99"/>
        <v>14400</v>
      </c>
      <c r="T106" s="207">
        <f t="shared" si="99"/>
        <v>0</v>
      </c>
      <c r="U106" s="207">
        <f t="shared" si="99"/>
        <v>14400</v>
      </c>
      <c r="V106" s="207">
        <f>V107</f>
        <v>0</v>
      </c>
      <c r="W106" s="207">
        <f t="shared" si="100"/>
        <v>14400</v>
      </c>
      <c r="X106" s="207">
        <f t="shared" si="100"/>
        <v>0</v>
      </c>
      <c r="Y106" s="234">
        <f t="shared" si="100"/>
        <v>14400</v>
      </c>
      <c r="Z106" s="234">
        <f t="shared" si="100"/>
        <v>0</v>
      </c>
      <c r="AA106" s="234">
        <f t="shared" si="100"/>
        <v>14400</v>
      </c>
      <c r="AB106" s="234">
        <f t="shared" si="100"/>
        <v>0</v>
      </c>
      <c r="AC106" s="234">
        <f t="shared" si="100"/>
        <v>14400</v>
      </c>
      <c r="AD106" s="234">
        <f t="shared" si="100"/>
        <v>0</v>
      </c>
      <c r="AE106" s="234">
        <f t="shared" si="100"/>
        <v>14400</v>
      </c>
    </row>
    <row r="107" spans="1:31" ht="27" customHeight="1">
      <c r="A107" s="26" t="s">
        <v>183</v>
      </c>
      <c r="B107" s="48" t="s">
        <v>189</v>
      </c>
      <c r="C107" s="27" t="s">
        <v>6</v>
      </c>
      <c r="D107" s="27" t="s">
        <v>2</v>
      </c>
      <c r="E107" s="27" t="s">
        <v>199</v>
      </c>
      <c r="F107" s="27" t="s">
        <v>42</v>
      </c>
      <c r="G107" s="60"/>
      <c r="H107" s="61">
        <v>14400</v>
      </c>
      <c r="I107" s="71">
        <f>G107+H107</f>
        <v>14400</v>
      </c>
      <c r="J107" s="61"/>
      <c r="K107" s="71">
        <f>I107+J107</f>
        <v>14400</v>
      </c>
      <c r="L107" s="71"/>
      <c r="M107" s="71">
        <f>K107+L107</f>
        <v>14400</v>
      </c>
      <c r="N107" s="71"/>
      <c r="O107" s="71">
        <f>M107+N107</f>
        <v>14400</v>
      </c>
      <c r="P107" s="71"/>
      <c r="Q107" s="71">
        <f>O107+P107</f>
        <v>14400</v>
      </c>
      <c r="R107" s="71"/>
      <c r="S107" s="208">
        <f>Q107+R107</f>
        <v>14400</v>
      </c>
      <c r="T107" s="208"/>
      <c r="U107" s="208">
        <f>S107+T107</f>
        <v>14400</v>
      </c>
      <c r="V107" s="208"/>
      <c r="W107" s="208">
        <f>U107+V107</f>
        <v>14400</v>
      </c>
      <c r="X107" s="208"/>
      <c r="Y107" s="235">
        <f>W107+X107</f>
        <v>14400</v>
      </c>
      <c r="Z107" s="235"/>
      <c r="AA107" s="235">
        <f>Y107+Z107</f>
        <v>14400</v>
      </c>
      <c r="AB107" s="235"/>
      <c r="AC107" s="235">
        <f>AA107+AB107</f>
        <v>14400</v>
      </c>
      <c r="AD107" s="235"/>
      <c r="AE107" s="235">
        <f>AC107+AD107</f>
        <v>14400</v>
      </c>
    </row>
    <row r="108" spans="1:31" ht="15.75">
      <c r="A108" s="26" t="s">
        <v>187</v>
      </c>
      <c r="B108" s="48" t="s">
        <v>189</v>
      </c>
      <c r="C108" s="27" t="s">
        <v>6</v>
      </c>
      <c r="D108" s="27" t="s">
        <v>2</v>
      </c>
      <c r="E108" s="27" t="s">
        <v>188</v>
      </c>
      <c r="F108" s="27"/>
      <c r="G108" s="60">
        <f aca="true" t="shared" si="101" ref="G108:V109">G109</f>
        <v>0</v>
      </c>
      <c r="H108" s="60">
        <f t="shared" si="101"/>
        <v>1600</v>
      </c>
      <c r="I108" s="83">
        <f t="shared" si="101"/>
        <v>1600</v>
      </c>
      <c r="J108" s="60">
        <f t="shared" si="101"/>
        <v>0</v>
      </c>
      <c r="K108" s="83">
        <f t="shared" si="101"/>
        <v>1600</v>
      </c>
      <c r="L108" s="83">
        <f t="shared" si="101"/>
        <v>0</v>
      </c>
      <c r="M108" s="83">
        <f t="shared" si="101"/>
        <v>1600</v>
      </c>
      <c r="N108" s="83">
        <f t="shared" si="101"/>
        <v>0</v>
      </c>
      <c r="O108" s="83">
        <f t="shared" si="101"/>
        <v>1600</v>
      </c>
      <c r="P108" s="83">
        <f t="shared" si="101"/>
        <v>0</v>
      </c>
      <c r="Q108" s="83">
        <f t="shared" si="101"/>
        <v>1600</v>
      </c>
      <c r="R108" s="83">
        <f t="shared" si="101"/>
        <v>0</v>
      </c>
      <c r="S108" s="207">
        <f t="shared" si="101"/>
        <v>1600</v>
      </c>
      <c r="T108" s="207">
        <f t="shared" si="101"/>
        <v>0</v>
      </c>
      <c r="U108" s="207">
        <f t="shared" si="101"/>
        <v>1600</v>
      </c>
      <c r="V108" s="207">
        <f t="shared" si="101"/>
        <v>0</v>
      </c>
      <c r="W108" s="207">
        <f aca="true" t="shared" si="102" ref="W108:AE109">W109</f>
        <v>1600</v>
      </c>
      <c r="X108" s="207">
        <f t="shared" si="102"/>
        <v>0</v>
      </c>
      <c r="Y108" s="234">
        <f t="shared" si="102"/>
        <v>1600</v>
      </c>
      <c r="Z108" s="234">
        <f t="shared" si="102"/>
        <v>0</v>
      </c>
      <c r="AA108" s="234">
        <f t="shared" si="102"/>
        <v>1600</v>
      </c>
      <c r="AB108" s="234">
        <f t="shared" si="102"/>
        <v>0</v>
      </c>
      <c r="AC108" s="234">
        <f t="shared" si="102"/>
        <v>1600</v>
      </c>
      <c r="AD108" s="234">
        <f t="shared" si="102"/>
        <v>0</v>
      </c>
      <c r="AE108" s="234">
        <f t="shared" si="102"/>
        <v>1600</v>
      </c>
    </row>
    <row r="109" spans="1:31" ht="63.75">
      <c r="A109" s="106" t="s">
        <v>200</v>
      </c>
      <c r="B109" s="48" t="s">
        <v>189</v>
      </c>
      <c r="C109" s="27" t="s">
        <v>6</v>
      </c>
      <c r="D109" s="27" t="s">
        <v>2</v>
      </c>
      <c r="E109" s="27" t="s">
        <v>204</v>
      </c>
      <c r="F109" s="27"/>
      <c r="G109" s="60">
        <f t="shared" si="101"/>
        <v>0</v>
      </c>
      <c r="H109" s="60">
        <f t="shared" si="101"/>
        <v>1600</v>
      </c>
      <c r="I109" s="83">
        <f t="shared" si="101"/>
        <v>1600</v>
      </c>
      <c r="J109" s="60">
        <f t="shared" si="101"/>
        <v>0</v>
      </c>
      <c r="K109" s="83">
        <f t="shared" si="101"/>
        <v>1600</v>
      </c>
      <c r="L109" s="83">
        <f t="shared" si="101"/>
        <v>0</v>
      </c>
      <c r="M109" s="83">
        <f t="shared" si="101"/>
        <v>1600</v>
      </c>
      <c r="N109" s="83">
        <f t="shared" si="101"/>
        <v>0</v>
      </c>
      <c r="O109" s="83">
        <f t="shared" si="101"/>
        <v>1600</v>
      </c>
      <c r="P109" s="83">
        <f t="shared" si="101"/>
        <v>0</v>
      </c>
      <c r="Q109" s="83">
        <f t="shared" si="101"/>
        <v>1600</v>
      </c>
      <c r="R109" s="83">
        <f t="shared" si="101"/>
        <v>0</v>
      </c>
      <c r="S109" s="207">
        <f t="shared" si="101"/>
        <v>1600</v>
      </c>
      <c r="T109" s="207">
        <f t="shared" si="101"/>
        <v>0</v>
      </c>
      <c r="U109" s="207">
        <f t="shared" si="101"/>
        <v>1600</v>
      </c>
      <c r="V109" s="207">
        <f>V110</f>
        <v>0</v>
      </c>
      <c r="W109" s="207">
        <f t="shared" si="102"/>
        <v>1600</v>
      </c>
      <c r="X109" s="207">
        <f t="shared" si="102"/>
        <v>0</v>
      </c>
      <c r="Y109" s="234">
        <f t="shared" si="102"/>
        <v>1600</v>
      </c>
      <c r="Z109" s="234">
        <f t="shared" si="102"/>
        <v>0</v>
      </c>
      <c r="AA109" s="234">
        <f t="shared" si="102"/>
        <v>1600</v>
      </c>
      <c r="AB109" s="234">
        <f t="shared" si="102"/>
        <v>0</v>
      </c>
      <c r="AC109" s="234">
        <f t="shared" si="102"/>
        <v>1600</v>
      </c>
      <c r="AD109" s="234">
        <f t="shared" si="102"/>
        <v>0</v>
      </c>
      <c r="AE109" s="234">
        <f t="shared" si="102"/>
        <v>1600</v>
      </c>
    </row>
    <row r="110" spans="1:31" ht="27.75" customHeight="1">
      <c r="A110" s="26" t="s">
        <v>183</v>
      </c>
      <c r="B110" s="48" t="s">
        <v>189</v>
      </c>
      <c r="C110" s="27" t="s">
        <v>6</v>
      </c>
      <c r="D110" s="27" t="s">
        <v>2</v>
      </c>
      <c r="E110" s="27" t="s">
        <v>204</v>
      </c>
      <c r="F110" s="27" t="s">
        <v>42</v>
      </c>
      <c r="G110" s="60"/>
      <c r="H110" s="61">
        <v>1600</v>
      </c>
      <c r="I110" s="71">
        <f>G110+H110</f>
        <v>1600</v>
      </c>
      <c r="J110" s="61"/>
      <c r="K110" s="71">
        <f>I110+J110</f>
        <v>1600</v>
      </c>
      <c r="L110" s="71"/>
      <c r="M110" s="71">
        <f>K110+L110</f>
        <v>1600</v>
      </c>
      <c r="N110" s="71"/>
      <c r="O110" s="71">
        <f>M110+N110</f>
        <v>1600</v>
      </c>
      <c r="P110" s="71"/>
      <c r="Q110" s="71">
        <f>O110+P110</f>
        <v>1600</v>
      </c>
      <c r="R110" s="71"/>
      <c r="S110" s="208">
        <f>Q110+R110</f>
        <v>1600</v>
      </c>
      <c r="T110" s="208"/>
      <c r="U110" s="208">
        <f>S110+T110</f>
        <v>1600</v>
      </c>
      <c r="V110" s="208"/>
      <c r="W110" s="208">
        <f>U110+V110</f>
        <v>1600</v>
      </c>
      <c r="X110" s="208"/>
      <c r="Y110" s="235">
        <f>W110+X110</f>
        <v>1600</v>
      </c>
      <c r="Z110" s="235"/>
      <c r="AA110" s="235">
        <f>Y110+Z110</f>
        <v>1600</v>
      </c>
      <c r="AB110" s="235"/>
      <c r="AC110" s="235">
        <f>AA110+AB110</f>
        <v>1600</v>
      </c>
      <c r="AD110" s="235"/>
      <c r="AE110" s="235">
        <f>AC110+AD110</f>
        <v>1600</v>
      </c>
    </row>
    <row r="111" spans="1:31" s="39" customFormat="1" ht="15.75">
      <c r="A111" s="32" t="s">
        <v>0</v>
      </c>
      <c r="B111" s="47" t="s">
        <v>189</v>
      </c>
      <c r="C111" s="34" t="s">
        <v>6</v>
      </c>
      <c r="D111" s="34" t="s">
        <v>4</v>
      </c>
      <c r="E111" s="34"/>
      <c r="F111" s="34"/>
      <c r="G111" s="59">
        <f aca="true" t="shared" si="103" ref="G111:AE111">G112</f>
        <v>746.895</v>
      </c>
      <c r="H111" s="59">
        <f t="shared" si="103"/>
        <v>318.707</v>
      </c>
      <c r="I111" s="82">
        <f t="shared" si="103"/>
        <v>1065.6019999999999</v>
      </c>
      <c r="J111" s="59">
        <f t="shared" si="103"/>
        <v>0</v>
      </c>
      <c r="K111" s="82">
        <f t="shared" si="103"/>
        <v>1065.6019999999999</v>
      </c>
      <c r="L111" s="82">
        <f t="shared" si="103"/>
        <v>0</v>
      </c>
      <c r="M111" s="82">
        <f t="shared" si="103"/>
        <v>1065.6019999999999</v>
      </c>
      <c r="N111" s="82">
        <f t="shared" si="103"/>
        <v>200</v>
      </c>
      <c r="O111" s="82">
        <f t="shared" si="103"/>
        <v>1265.602</v>
      </c>
      <c r="P111" s="82">
        <f t="shared" si="103"/>
        <v>150</v>
      </c>
      <c r="Q111" s="82">
        <f t="shared" si="103"/>
        <v>1415.602</v>
      </c>
      <c r="R111" s="82">
        <f t="shared" si="103"/>
        <v>105</v>
      </c>
      <c r="S111" s="206">
        <f t="shared" si="103"/>
        <v>1520.602</v>
      </c>
      <c r="T111" s="206">
        <f t="shared" si="103"/>
        <v>0</v>
      </c>
      <c r="U111" s="206">
        <f t="shared" si="103"/>
        <v>1520.602</v>
      </c>
      <c r="V111" s="206">
        <f t="shared" si="103"/>
        <v>1170</v>
      </c>
      <c r="W111" s="206">
        <f t="shared" si="103"/>
        <v>2690.602</v>
      </c>
      <c r="X111" s="206">
        <f t="shared" si="103"/>
        <v>194.734</v>
      </c>
      <c r="Y111" s="233">
        <f t="shared" si="103"/>
        <v>2885.336</v>
      </c>
      <c r="Z111" s="233">
        <f t="shared" si="103"/>
        <v>-106.9</v>
      </c>
      <c r="AA111" s="233">
        <f t="shared" si="103"/>
        <v>2778.4359999999997</v>
      </c>
      <c r="AB111" s="233">
        <f t="shared" si="103"/>
        <v>0</v>
      </c>
      <c r="AC111" s="233">
        <f t="shared" si="103"/>
        <v>2778.4359999999997</v>
      </c>
      <c r="AD111" s="233">
        <f t="shared" si="103"/>
        <v>0</v>
      </c>
      <c r="AE111" s="233">
        <f t="shared" si="103"/>
        <v>2778.4359999999997</v>
      </c>
    </row>
    <row r="112" spans="1:31" ht="15.75">
      <c r="A112" s="26" t="s">
        <v>77</v>
      </c>
      <c r="B112" s="48" t="s">
        <v>189</v>
      </c>
      <c r="C112" s="27" t="s">
        <v>6</v>
      </c>
      <c r="D112" s="27" t="s">
        <v>4</v>
      </c>
      <c r="E112" s="27" t="s">
        <v>78</v>
      </c>
      <c r="F112" s="27"/>
      <c r="G112" s="60">
        <f aca="true" t="shared" si="104" ref="G112:M112">G113+G115+G117+G119+G121</f>
        <v>746.895</v>
      </c>
      <c r="H112" s="60">
        <f t="shared" si="104"/>
        <v>318.707</v>
      </c>
      <c r="I112" s="83">
        <f t="shared" si="104"/>
        <v>1065.6019999999999</v>
      </c>
      <c r="J112" s="60">
        <f t="shared" si="104"/>
        <v>0</v>
      </c>
      <c r="K112" s="83">
        <f t="shared" si="104"/>
        <v>1065.6019999999999</v>
      </c>
      <c r="L112" s="83">
        <f t="shared" si="104"/>
        <v>0</v>
      </c>
      <c r="M112" s="83">
        <f t="shared" si="104"/>
        <v>1065.6019999999999</v>
      </c>
      <c r="N112" s="83">
        <f aca="true" t="shared" si="105" ref="N112:S112">N113+N115+N117+N119+N121</f>
        <v>200</v>
      </c>
      <c r="O112" s="83">
        <f t="shared" si="105"/>
        <v>1265.602</v>
      </c>
      <c r="P112" s="83">
        <f t="shared" si="105"/>
        <v>150</v>
      </c>
      <c r="Q112" s="83">
        <f t="shared" si="105"/>
        <v>1415.602</v>
      </c>
      <c r="R112" s="83">
        <f t="shared" si="105"/>
        <v>105</v>
      </c>
      <c r="S112" s="207">
        <f t="shared" si="105"/>
        <v>1520.602</v>
      </c>
      <c r="T112" s="207">
        <f aca="true" t="shared" si="106" ref="T112:Y112">T113+T115+T117+T119+T121</f>
        <v>0</v>
      </c>
      <c r="U112" s="207">
        <f t="shared" si="106"/>
        <v>1520.602</v>
      </c>
      <c r="V112" s="207">
        <f t="shared" si="106"/>
        <v>1170</v>
      </c>
      <c r="W112" s="207">
        <f t="shared" si="106"/>
        <v>2690.602</v>
      </c>
      <c r="X112" s="207">
        <f t="shared" si="106"/>
        <v>194.734</v>
      </c>
      <c r="Y112" s="234">
        <f t="shared" si="106"/>
        <v>2885.336</v>
      </c>
      <c r="Z112" s="234">
        <f aca="true" t="shared" si="107" ref="Z112:AE112">Z113+Z115+Z117+Z119+Z121</f>
        <v>-106.9</v>
      </c>
      <c r="AA112" s="234">
        <f t="shared" si="107"/>
        <v>2778.4359999999997</v>
      </c>
      <c r="AB112" s="234">
        <f t="shared" si="107"/>
        <v>0</v>
      </c>
      <c r="AC112" s="234">
        <f t="shared" si="107"/>
        <v>2778.4359999999997</v>
      </c>
      <c r="AD112" s="234">
        <f t="shared" si="107"/>
        <v>0</v>
      </c>
      <c r="AE112" s="234">
        <f t="shared" si="107"/>
        <v>2778.4359999999997</v>
      </c>
    </row>
    <row r="113" spans="1:31" ht="15.75">
      <c r="A113" s="13" t="s">
        <v>79</v>
      </c>
      <c r="B113" s="48" t="s">
        <v>189</v>
      </c>
      <c r="C113" s="27" t="s">
        <v>6</v>
      </c>
      <c r="D113" s="27" t="s">
        <v>4</v>
      </c>
      <c r="E113" s="51" t="s">
        <v>80</v>
      </c>
      <c r="F113" s="51"/>
      <c r="G113" s="61">
        <f aca="true" t="shared" si="108" ref="G113:AE113">G114</f>
        <v>80</v>
      </c>
      <c r="H113" s="61">
        <f t="shared" si="108"/>
        <v>0</v>
      </c>
      <c r="I113" s="71">
        <f t="shared" si="108"/>
        <v>80</v>
      </c>
      <c r="J113" s="61">
        <f t="shared" si="108"/>
        <v>0</v>
      </c>
      <c r="K113" s="71">
        <f t="shared" si="108"/>
        <v>80</v>
      </c>
      <c r="L113" s="71">
        <f t="shared" si="108"/>
        <v>0</v>
      </c>
      <c r="M113" s="71">
        <f t="shared" si="108"/>
        <v>80</v>
      </c>
      <c r="N113" s="71">
        <f t="shared" si="108"/>
        <v>0</v>
      </c>
      <c r="O113" s="71">
        <f t="shared" si="108"/>
        <v>80</v>
      </c>
      <c r="P113" s="71">
        <f t="shared" si="108"/>
        <v>0</v>
      </c>
      <c r="Q113" s="71">
        <f t="shared" si="108"/>
        <v>80</v>
      </c>
      <c r="R113" s="71">
        <f t="shared" si="108"/>
        <v>0</v>
      </c>
      <c r="S113" s="208">
        <f t="shared" si="108"/>
        <v>80</v>
      </c>
      <c r="T113" s="208">
        <f t="shared" si="108"/>
        <v>0</v>
      </c>
      <c r="U113" s="208">
        <f t="shared" si="108"/>
        <v>80</v>
      </c>
      <c r="V113" s="208">
        <f t="shared" si="108"/>
        <v>0</v>
      </c>
      <c r="W113" s="208">
        <f t="shared" si="108"/>
        <v>80</v>
      </c>
      <c r="X113" s="208">
        <f t="shared" si="108"/>
        <v>0</v>
      </c>
      <c r="Y113" s="235">
        <f t="shared" si="108"/>
        <v>80</v>
      </c>
      <c r="Z113" s="235">
        <f t="shared" si="108"/>
        <v>0</v>
      </c>
      <c r="AA113" s="235">
        <f t="shared" si="108"/>
        <v>80</v>
      </c>
      <c r="AB113" s="235">
        <f t="shared" si="108"/>
        <v>0</v>
      </c>
      <c r="AC113" s="235">
        <f t="shared" si="108"/>
        <v>80</v>
      </c>
      <c r="AD113" s="235">
        <f t="shared" si="108"/>
        <v>0</v>
      </c>
      <c r="AE113" s="235">
        <f t="shared" si="108"/>
        <v>80</v>
      </c>
    </row>
    <row r="114" spans="1:31" ht="28.5" customHeight="1">
      <c r="A114" s="26" t="s">
        <v>183</v>
      </c>
      <c r="B114" s="48" t="s">
        <v>189</v>
      </c>
      <c r="C114" s="27" t="s">
        <v>6</v>
      </c>
      <c r="D114" s="27" t="s">
        <v>4</v>
      </c>
      <c r="E114" s="51" t="s">
        <v>80</v>
      </c>
      <c r="F114" s="51" t="s">
        <v>42</v>
      </c>
      <c r="G114" s="61">
        <v>80</v>
      </c>
      <c r="H114" s="88"/>
      <c r="I114" s="71">
        <f>G114+H114</f>
        <v>80</v>
      </c>
      <c r="J114" s="88"/>
      <c r="K114" s="71">
        <f>I114+J114</f>
        <v>80</v>
      </c>
      <c r="L114" s="71"/>
      <c r="M114" s="71">
        <f>K114+L114</f>
        <v>80</v>
      </c>
      <c r="N114" s="71"/>
      <c r="O114" s="71">
        <f>M114+N114</f>
        <v>80</v>
      </c>
      <c r="P114" s="71"/>
      <c r="Q114" s="71">
        <f>O114+P114</f>
        <v>80</v>
      </c>
      <c r="R114" s="71"/>
      <c r="S114" s="208">
        <f>Q114+R114</f>
        <v>80</v>
      </c>
      <c r="T114" s="208"/>
      <c r="U114" s="208">
        <f>S114+T114</f>
        <v>80</v>
      </c>
      <c r="V114" s="208"/>
      <c r="W114" s="208">
        <f>U114+V114</f>
        <v>80</v>
      </c>
      <c r="X114" s="208"/>
      <c r="Y114" s="235">
        <f>W114+X114</f>
        <v>80</v>
      </c>
      <c r="Z114" s="235"/>
      <c r="AA114" s="235">
        <f>Y114+Z114</f>
        <v>80</v>
      </c>
      <c r="AB114" s="235"/>
      <c r="AC114" s="235">
        <f>AA114+AB114</f>
        <v>80</v>
      </c>
      <c r="AD114" s="235"/>
      <c r="AE114" s="235">
        <f>AC114+AD114</f>
        <v>80</v>
      </c>
    </row>
    <row r="115" spans="1:31" s="3" customFormat="1" ht="30" customHeight="1">
      <c r="A115" s="49" t="s">
        <v>150</v>
      </c>
      <c r="B115" s="48" t="s">
        <v>189</v>
      </c>
      <c r="C115" s="27" t="s">
        <v>6</v>
      </c>
      <c r="D115" s="27" t="s">
        <v>4</v>
      </c>
      <c r="E115" s="51" t="s">
        <v>81</v>
      </c>
      <c r="F115" s="51"/>
      <c r="G115" s="61">
        <f aca="true" t="shared" si="109" ref="G115:AE115">G116</f>
        <v>202.895</v>
      </c>
      <c r="H115" s="61">
        <f t="shared" si="109"/>
        <v>29.707</v>
      </c>
      <c r="I115" s="71">
        <f t="shared" si="109"/>
        <v>232.602</v>
      </c>
      <c r="J115" s="61">
        <f t="shared" si="109"/>
        <v>0</v>
      </c>
      <c r="K115" s="71">
        <f t="shared" si="109"/>
        <v>232.602</v>
      </c>
      <c r="L115" s="71">
        <f t="shared" si="109"/>
        <v>0</v>
      </c>
      <c r="M115" s="71">
        <f t="shared" si="109"/>
        <v>232.602</v>
      </c>
      <c r="N115" s="71">
        <f t="shared" si="109"/>
        <v>0</v>
      </c>
      <c r="O115" s="71">
        <f t="shared" si="109"/>
        <v>232.602</v>
      </c>
      <c r="P115" s="71">
        <f t="shared" si="109"/>
        <v>0</v>
      </c>
      <c r="Q115" s="71">
        <f t="shared" si="109"/>
        <v>232.602</v>
      </c>
      <c r="R115" s="71">
        <f t="shared" si="109"/>
        <v>0</v>
      </c>
      <c r="S115" s="208">
        <f t="shared" si="109"/>
        <v>232.602</v>
      </c>
      <c r="T115" s="208">
        <f t="shared" si="109"/>
        <v>0</v>
      </c>
      <c r="U115" s="208">
        <f t="shared" si="109"/>
        <v>232.602</v>
      </c>
      <c r="V115" s="208">
        <f t="shared" si="109"/>
        <v>430</v>
      </c>
      <c r="W115" s="208">
        <f t="shared" si="109"/>
        <v>662.602</v>
      </c>
      <c r="X115" s="208">
        <f t="shared" si="109"/>
        <v>0</v>
      </c>
      <c r="Y115" s="235">
        <f t="shared" si="109"/>
        <v>662.602</v>
      </c>
      <c r="Z115" s="235">
        <f t="shared" si="109"/>
        <v>0</v>
      </c>
      <c r="AA115" s="235">
        <f t="shared" si="109"/>
        <v>662.602</v>
      </c>
      <c r="AB115" s="235">
        <f t="shared" si="109"/>
        <v>0</v>
      </c>
      <c r="AC115" s="235">
        <f t="shared" si="109"/>
        <v>662.602</v>
      </c>
      <c r="AD115" s="235">
        <f t="shared" si="109"/>
        <v>0</v>
      </c>
      <c r="AE115" s="235">
        <f t="shared" si="109"/>
        <v>662.602</v>
      </c>
    </row>
    <row r="116" spans="1:31" ht="27.75" customHeight="1">
      <c r="A116" s="26" t="s">
        <v>183</v>
      </c>
      <c r="B116" s="48" t="s">
        <v>189</v>
      </c>
      <c r="C116" s="27" t="s">
        <v>6</v>
      </c>
      <c r="D116" s="27" t="s">
        <v>4</v>
      </c>
      <c r="E116" s="51" t="s">
        <v>81</v>
      </c>
      <c r="F116" s="51" t="s">
        <v>42</v>
      </c>
      <c r="G116" s="61">
        <v>202.895</v>
      </c>
      <c r="H116" s="88">
        <v>29.707</v>
      </c>
      <c r="I116" s="71">
        <f>G116+H116</f>
        <v>232.602</v>
      </c>
      <c r="J116" s="88"/>
      <c r="K116" s="71">
        <f>I116+J116</f>
        <v>232.602</v>
      </c>
      <c r="L116" s="71"/>
      <c r="M116" s="71">
        <f>K116+L116</f>
        <v>232.602</v>
      </c>
      <c r="N116" s="71"/>
      <c r="O116" s="71">
        <f>M116+N116</f>
        <v>232.602</v>
      </c>
      <c r="P116" s="71"/>
      <c r="Q116" s="71">
        <f>O116+P116</f>
        <v>232.602</v>
      </c>
      <c r="R116" s="71"/>
      <c r="S116" s="208">
        <f>Q116+R116</f>
        <v>232.602</v>
      </c>
      <c r="T116" s="208"/>
      <c r="U116" s="208">
        <f>S116+T116</f>
        <v>232.602</v>
      </c>
      <c r="V116" s="208">
        <v>430</v>
      </c>
      <c r="W116" s="208">
        <f>U116+V116</f>
        <v>662.602</v>
      </c>
      <c r="X116" s="208"/>
      <c r="Y116" s="235">
        <f>W116+X116</f>
        <v>662.602</v>
      </c>
      <c r="Z116" s="235"/>
      <c r="AA116" s="235">
        <f>Y116+Z116</f>
        <v>662.602</v>
      </c>
      <c r="AB116" s="235"/>
      <c r="AC116" s="235">
        <f>AA116+AB116</f>
        <v>662.602</v>
      </c>
      <c r="AD116" s="235"/>
      <c r="AE116" s="235">
        <f>AC116+AD116</f>
        <v>662.602</v>
      </c>
    </row>
    <row r="117" spans="1:31" ht="15.75">
      <c r="A117" s="13" t="s">
        <v>8</v>
      </c>
      <c r="B117" s="48" t="s">
        <v>189</v>
      </c>
      <c r="C117" s="27" t="s">
        <v>6</v>
      </c>
      <c r="D117" s="27" t="s">
        <v>4</v>
      </c>
      <c r="E117" s="51" t="s">
        <v>83</v>
      </c>
      <c r="F117" s="51"/>
      <c r="G117" s="61">
        <f aca="true" t="shared" si="110" ref="G117:AE117">G118</f>
        <v>40</v>
      </c>
      <c r="H117" s="61">
        <f t="shared" si="110"/>
        <v>89</v>
      </c>
      <c r="I117" s="71">
        <f t="shared" si="110"/>
        <v>129</v>
      </c>
      <c r="J117" s="61">
        <f t="shared" si="110"/>
        <v>0</v>
      </c>
      <c r="K117" s="71">
        <f t="shared" si="110"/>
        <v>129</v>
      </c>
      <c r="L117" s="71">
        <f t="shared" si="110"/>
        <v>0</v>
      </c>
      <c r="M117" s="71">
        <f t="shared" si="110"/>
        <v>129</v>
      </c>
      <c r="N117" s="71">
        <f t="shared" si="110"/>
        <v>0</v>
      </c>
      <c r="O117" s="71">
        <f t="shared" si="110"/>
        <v>129</v>
      </c>
      <c r="P117" s="71">
        <f t="shared" si="110"/>
        <v>0</v>
      </c>
      <c r="Q117" s="71">
        <f t="shared" si="110"/>
        <v>129</v>
      </c>
      <c r="R117" s="71">
        <f t="shared" si="110"/>
        <v>0</v>
      </c>
      <c r="S117" s="208">
        <f t="shared" si="110"/>
        <v>129</v>
      </c>
      <c r="T117" s="208">
        <f t="shared" si="110"/>
        <v>0</v>
      </c>
      <c r="U117" s="208">
        <f t="shared" si="110"/>
        <v>129</v>
      </c>
      <c r="V117" s="208">
        <f t="shared" si="110"/>
        <v>0</v>
      </c>
      <c r="W117" s="208">
        <f t="shared" si="110"/>
        <v>129</v>
      </c>
      <c r="X117" s="208">
        <f t="shared" si="110"/>
        <v>0</v>
      </c>
      <c r="Y117" s="235">
        <f t="shared" si="110"/>
        <v>129</v>
      </c>
      <c r="Z117" s="235">
        <f t="shared" si="110"/>
        <v>0</v>
      </c>
      <c r="AA117" s="235">
        <f t="shared" si="110"/>
        <v>129</v>
      </c>
      <c r="AB117" s="235">
        <f t="shared" si="110"/>
        <v>0</v>
      </c>
      <c r="AC117" s="235">
        <f t="shared" si="110"/>
        <v>129</v>
      </c>
      <c r="AD117" s="235">
        <f t="shared" si="110"/>
        <v>0</v>
      </c>
      <c r="AE117" s="235">
        <f t="shared" si="110"/>
        <v>129</v>
      </c>
    </row>
    <row r="118" spans="1:31" ht="27.75" customHeight="1">
      <c r="A118" s="26" t="s">
        <v>183</v>
      </c>
      <c r="B118" s="48" t="s">
        <v>189</v>
      </c>
      <c r="C118" s="27" t="s">
        <v>6</v>
      </c>
      <c r="D118" s="27" t="s">
        <v>4</v>
      </c>
      <c r="E118" s="51" t="s">
        <v>83</v>
      </c>
      <c r="F118" s="51" t="s">
        <v>42</v>
      </c>
      <c r="G118" s="61">
        <v>40</v>
      </c>
      <c r="H118" s="88">
        <f>89</f>
        <v>89</v>
      </c>
      <c r="I118" s="71">
        <f>G118+H118</f>
        <v>129</v>
      </c>
      <c r="J118" s="88"/>
      <c r="K118" s="71">
        <f>I118+J118</f>
        <v>129</v>
      </c>
      <c r="L118" s="71"/>
      <c r="M118" s="71">
        <f>K118+L118</f>
        <v>129</v>
      </c>
      <c r="N118" s="71"/>
      <c r="O118" s="71">
        <f>M118+N118</f>
        <v>129</v>
      </c>
      <c r="P118" s="71"/>
      <c r="Q118" s="71">
        <f>O118+P118</f>
        <v>129</v>
      </c>
      <c r="R118" s="71"/>
      <c r="S118" s="208">
        <f>Q118+R118</f>
        <v>129</v>
      </c>
      <c r="T118" s="208"/>
      <c r="U118" s="208">
        <f>S118+T118</f>
        <v>129</v>
      </c>
      <c r="V118" s="208"/>
      <c r="W118" s="208">
        <f>U118+V118</f>
        <v>129</v>
      </c>
      <c r="X118" s="208"/>
      <c r="Y118" s="235">
        <f>W118+X118</f>
        <v>129</v>
      </c>
      <c r="Z118" s="235"/>
      <c r="AA118" s="235">
        <f>Y118+Z118</f>
        <v>129</v>
      </c>
      <c r="AB118" s="235"/>
      <c r="AC118" s="235">
        <f>AA118+AB118</f>
        <v>129</v>
      </c>
      <c r="AD118" s="235"/>
      <c r="AE118" s="235">
        <f>AC118+AD118</f>
        <v>129</v>
      </c>
    </row>
    <row r="119" spans="1:31" ht="15.75">
      <c r="A119" s="26" t="s">
        <v>84</v>
      </c>
      <c r="B119" s="48" t="s">
        <v>189</v>
      </c>
      <c r="C119" s="27" t="s">
        <v>6</v>
      </c>
      <c r="D119" s="27" t="s">
        <v>4</v>
      </c>
      <c r="E119" s="51" t="s">
        <v>82</v>
      </c>
      <c r="F119" s="51"/>
      <c r="G119" s="61">
        <f aca="true" t="shared" si="111" ref="G119:AE119">G120</f>
        <v>80</v>
      </c>
      <c r="H119" s="61">
        <f t="shared" si="111"/>
        <v>0</v>
      </c>
      <c r="I119" s="71">
        <f t="shared" si="111"/>
        <v>80</v>
      </c>
      <c r="J119" s="61">
        <f t="shared" si="111"/>
        <v>0</v>
      </c>
      <c r="K119" s="71">
        <f t="shared" si="111"/>
        <v>80</v>
      </c>
      <c r="L119" s="71">
        <f t="shared" si="111"/>
        <v>0</v>
      </c>
      <c r="M119" s="71">
        <f t="shared" si="111"/>
        <v>80</v>
      </c>
      <c r="N119" s="71">
        <f t="shared" si="111"/>
        <v>-16.2</v>
      </c>
      <c r="O119" s="71">
        <f t="shared" si="111"/>
        <v>63.8</v>
      </c>
      <c r="P119" s="71">
        <f t="shared" si="111"/>
        <v>0</v>
      </c>
      <c r="Q119" s="71">
        <f t="shared" si="111"/>
        <v>63.8</v>
      </c>
      <c r="R119" s="71">
        <f t="shared" si="111"/>
        <v>0</v>
      </c>
      <c r="S119" s="208">
        <f t="shared" si="111"/>
        <v>63.8</v>
      </c>
      <c r="T119" s="208">
        <f t="shared" si="111"/>
        <v>0</v>
      </c>
      <c r="U119" s="208">
        <f t="shared" si="111"/>
        <v>63.8</v>
      </c>
      <c r="V119" s="208">
        <f t="shared" si="111"/>
        <v>0</v>
      </c>
      <c r="W119" s="208">
        <f t="shared" si="111"/>
        <v>63.8</v>
      </c>
      <c r="X119" s="208">
        <f t="shared" si="111"/>
        <v>0</v>
      </c>
      <c r="Y119" s="235">
        <f t="shared" si="111"/>
        <v>63.8</v>
      </c>
      <c r="Z119" s="235">
        <f t="shared" si="111"/>
        <v>0</v>
      </c>
      <c r="AA119" s="235">
        <f t="shared" si="111"/>
        <v>63.8</v>
      </c>
      <c r="AB119" s="235">
        <f t="shared" si="111"/>
        <v>0</v>
      </c>
      <c r="AC119" s="235">
        <f t="shared" si="111"/>
        <v>63.8</v>
      </c>
      <c r="AD119" s="235">
        <f t="shared" si="111"/>
        <v>0</v>
      </c>
      <c r="AE119" s="235">
        <f t="shared" si="111"/>
        <v>63.8</v>
      </c>
    </row>
    <row r="120" spans="1:31" ht="27" customHeight="1">
      <c r="A120" s="26" t="s">
        <v>183</v>
      </c>
      <c r="B120" s="48" t="s">
        <v>189</v>
      </c>
      <c r="C120" s="27" t="s">
        <v>6</v>
      </c>
      <c r="D120" s="27" t="s">
        <v>4</v>
      </c>
      <c r="E120" s="51" t="s">
        <v>82</v>
      </c>
      <c r="F120" s="51" t="s">
        <v>42</v>
      </c>
      <c r="G120" s="61">
        <v>80</v>
      </c>
      <c r="H120" s="88"/>
      <c r="I120" s="71">
        <f>G120+H120</f>
        <v>80</v>
      </c>
      <c r="J120" s="88"/>
      <c r="K120" s="71">
        <f>I120+J120</f>
        <v>80</v>
      </c>
      <c r="L120" s="71"/>
      <c r="M120" s="71">
        <f>K120+L120</f>
        <v>80</v>
      </c>
      <c r="N120" s="71">
        <f>-16.2</f>
        <v>-16.2</v>
      </c>
      <c r="O120" s="71">
        <f>M120+N120</f>
        <v>63.8</v>
      </c>
      <c r="P120" s="71"/>
      <c r="Q120" s="71">
        <f>O120+P120</f>
        <v>63.8</v>
      </c>
      <c r="R120" s="71"/>
      <c r="S120" s="208">
        <f>Q120+R120</f>
        <v>63.8</v>
      </c>
      <c r="T120" s="208"/>
      <c r="U120" s="208">
        <f>S120+T120</f>
        <v>63.8</v>
      </c>
      <c r="V120" s="208"/>
      <c r="W120" s="208">
        <f>U120+V120</f>
        <v>63.8</v>
      </c>
      <c r="X120" s="208"/>
      <c r="Y120" s="235">
        <f>W120+X120</f>
        <v>63.8</v>
      </c>
      <c r="Z120" s="235"/>
      <c r="AA120" s="235">
        <f>Y120+Z120</f>
        <v>63.8</v>
      </c>
      <c r="AB120" s="235"/>
      <c r="AC120" s="235">
        <f>AA120+AB120</f>
        <v>63.8</v>
      </c>
      <c r="AD120" s="235"/>
      <c r="AE120" s="235">
        <f>AC120+AD120</f>
        <v>63.8</v>
      </c>
    </row>
    <row r="121" spans="1:31" ht="27" customHeight="1">
      <c r="A121" s="26" t="s">
        <v>85</v>
      </c>
      <c r="B121" s="48" t="s">
        <v>189</v>
      </c>
      <c r="C121" s="27" t="s">
        <v>6</v>
      </c>
      <c r="D121" s="27" t="s">
        <v>4</v>
      </c>
      <c r="E121" s="51" t="s">
        <v>86</v>
      </c>
      <c r="F121" s="51"/>
      <c r="G121" s="61">
        <f aca="true" t="shared" si="112" ref="G121:AE121">G122</f>
        <v>344</v>
      </c>
      <c r="H121" s="61">
        <f t="shared" si="112"/>
        <v>200</v>
      </c>
      <c r="I121" s="71">
        <f t="shared" si="112"/>
        <v>544</v>
      </c>
      <c r="J121" s="61">
        <f t="shared" si="112"/>
        <v>0</v>
      </c>
      <c r="K121" s="71">
        <f t="shared" si="112"/>
        <v>544</v>
      </c>
      <c r="L121" s="71">
        <f t="shared" si="112"/>
        <v>0</v>
      </c>
      <c r="M121" s="71">
        <f t="shared" si="112"/>
        <v>544</v>
      </c>
      <c r="N121" s="71">
        <f t="shared" si="112"/>
        <v>216.2</v>
      </c>
      <c r="O121" s="71">
        <f t="shared" si="112"/>
        <v>760.2</v>
      </c>
      <c r="P121" s="71">
        <f t="shared" si="112"/>
        <v>150</v>
      </c>
      <c r="Q121" s="71">
        <f t="shared" si="112"/>
        <v>910.2</v>
      </c>
      <c r="R121" s="71">
        <f t="shared" si="112"/>
        <v>105</v>
      </c>
      <c r="S121" s="208">
        <f t="shared" si="112"/>
        <v>1015.2</v>
      </c>
      <c r="T121" s="208">
        <f t="shared" si="112"/>
        <v>0</v>
      </c>
      <c r="U121" s="208">
        <f t="shared" si="112"/>
        <v>1015.2</v>
      </c>
      <c r="V121" s="208">
        <f t="shared" si="112"/>
        <v>740</v>
      </c>
      <c r="W121" s="208">
        <f t="shared" si="112"/>
        <v>1755.2</v>
      </c>
      <c r="X121" s="208">
        <f t="shared" si="112"/>
        <v>194.734</v>
      </c>
      <c r="Y121" s="235">
        <f t="shared" si="112"/>
        <v>1949.934</v>
      </c>
      <c r="Z121" s="235">
        <f t="shared" si="112"/>
        <v>-106.9</v>
      </c>
      <c r="AA121" s="235">
        <f t="shared" si="112"/>
        <v>1843.0339999999999</v>
      </c>
      <c r="AB121" s="235">
        <f t="shared" si="112"/>
        <v>0</v>
      </c>
      <c r="AC121" s="235">
        <f t="shared" si="112"/>
        <v>1843.0339999999999</v>
      </c>
      <c r="AD121" s="235">
        <f t="shared" si="112"/>
        <v>0</v>
      </c>
      <c r="AE121" s="235">
        <f t="shared" si="112"/>
        <v>1843.0339999999999</v>
      </c>
    </row>
    <row r="122" spans="1:31" ht="28.5" customHeight="1">
      <c r="A122" s="26" t="s">
        <v>183</v>
      </c>
      <c r="B122" s="48" t="s">
        <v>189</v>
      </c>
      <c r="C122" s="27" t="s">
        <v>6</v>
      </c>
      <c r="D122" s="27" t="s">
        <v>4</v>
      </c>
      <c r="E122" s="51" t="s">
        <v>86</v>
      </c>
      <c r="F122" s="51" t="s">
        <v>42</v>
      </c>
      <c r="G122" s="61">
        <v>344</v>
      </c>
      <c r="H122" s="88">
        <f>200</f>
        <v>200</v>
      </c>
      <c r="I122" s="71">
        <f>G122+H122</f>
        <v>544</v>
      </c>
      <c r="J122" s="88"/>
      <c r="K122" s="71">
        <f>I122+J122</f>
        <v>544</v>
      </c>
      <c r="L122" s="71"/>
      <c r="M122" s="71">
        <f>K122+L122</f>
        <v>544</v>
      </c>
      <c r="N122" s="71">
        <f>16.2+200</f>
        <v>216.2</v>
      </c>
      <c r="O122" s="71">
        <f>M122+N122</f>
        <v>760.2</v>
      </c>
      <c r="P122" s="71">
        <f>100+50</f>
        <v>150</v>
      </c>
      <c r="Q122" s="71">
        <f>O122+P122</f>
        <v>910.2</v>
      </c>
      <c r="R122" s="71">
        <v>105</v>
      </c>
      <c r="S122" s="208">
        <f>Q122+R122</f>
        <v>1015.2</v>
      </c>
      <c r="T122" s="208"/>
      <c r="U122" s="208">
        <f>S122+T122</f>
        <v>1015.2</v>
      </c>
      <c r="V122" s="208">
        <f>180+400+60+100</f>
        <v>740</v>
      </c>
      <c r="W122" s="208">
        <f>U122+V122</f>
        <v>1755.2</v>
      </c>
      <c r="X122" s="208">
        <v>194.734</v>
      </c>
      <c r="Y122" s="235">
        <f>W122+X122</f>
        <v>1949.934</v>
      </c>
      <c r="Z122" s="235">
        <f>-99.7-7.2</f>
        <v>-106.9</v>
      </c>
      <c r="AA122" s="235">
        <f>Y122+Z122</f>
        <v>1843.0339999999999</v>
      </c>
      <c r="AB122" s="235">
        <f>95-95</f>
        <v>0</v>
      </c>
      <c r="AC122" s="235">
        <f>AA122+AB122</f>
        <v>1843.0339999999999</v>
      </c>
      <c r="AD122" s="235"/>
      <c r="AE122" s="235">
        <f>AC122+AD122</f>
        <v>1843.0339999999999</v>
      </c>
    </row>
    <row r="123" spans="1:31" s="8" customFormat="1" ht="15.75">
      <c r="A123" s="112" t="s">
        <v>87</v>
      </c>
      <c r="B123" s="47" t="s">
        <v>189</v>
      </c>
      <c r="C123" s="41" t="s">
        <v>7</v>
      </c>
      <c r="D123" s="41"/>
      <c r="E123" s="111"/>
      <c r="F123" s="111"/>
      <c r="G123" s="62">
        <f aca="true" t="shared" si="113" ref="G123:AE123">G124</f>
        <v>3617.6000000000004</v>
      </c>
      <c r="H123" s="62">
        <f t="shared" si="113"/>
        <v>0</v>
      </c>
      <c r="I123" s="84">
        <f t="shared" si="113"/>
        <v>3617.6000000000004</v>
      </c>
      <c r="J123" s="62">
        <f t="shared" si="113"/>
        <v>0</v>
      </c>
      <c r="K123" s="84">
        <f t="shared" si="113"/>
        <v>3617.6000000000004</v>
      </c>
      <c r="L123" s="84">
        <f t="shared" si="113"/>
        <v>0</v>
      </c>
      <c r="M123" s="84">
        <f t="shared" si="113"/>
        <v>3617.6000000000004</v>
      </c>
      <c r="N123" s="84">
        <f t="shared" si="113"/>
        <v>20</v>
      </c>
      <c r="O123" s="84">
        <f t="shared" si="113"/>
        <v>3637.6000000000004</v>
      </c>
      <c r="P123" s="84">
        <f t="shared" si="113"/>
        <v>200</v>
      </c>
      <c r="Q123" s="84">
        <f t="shared" si="113"/>
        <v>3837.6</v>
      </c>
      <c r="R123" s="84">
        <f t="shared" si="113"/>
        <v>0</v>
      </c>
      <c r="S123" s="210">
        <f t="shared" si="113"/>
        <v>3837.6</v>
      </c>
      <c r="T123" s="210">
        <f t="shared" si="113"/>
        <v>0</v>
      </c>
      <c r="U123" s="210">
        <f t="shared" si="113"/>
        <v>3837.6</v>
      </c>
      <c r="V123" s="210">
        <f t="shared" si="113"/>
        <v>-4.440892098500626E-16</v>
      </c>
      <c r="W123" s="210">
        <f t="shared" si="113"/>
        <v>3837.6000000000004</v>
      </c>
      <c r="X123" s="210">
        <f t="shared" si="113"/>
        <v>175.33</v>
      </c>
      <c r="Y123" s="237">
        <f t="shared" si="113"/>
        <v>4012.93</v>
      </c>
      <c r="Z123" s="237">
        <f t="shared" si="113"/>
        <v>0</v>
      </c>
      <c r="AA123" s="237">
        <f t="shared" si="113"/>
        <v>4012.93</v>
      </c>
      <c r="AB123" s="237">
        <f t="shared" si="113"/>
        <v>62.500000000000014</v>
      </c>
      <c r="AC123" s="237">
        <f t="shared" si="113"/>
        <v>4075.43</v>
      </c>
      <c r="AD123" s="237">
        <f t="shared" si="113"/>
        <v>0</v>
      </c>
      <c r="AE123" s="237">
        <f t="shared" si="113"/>
        <v>4075.43</v>
      </c>
    </row>
    <row r="124" spans="1:31" s="39" customFormat="1" ht="15.75">
      <c r="A124" s="109" t="s">
        <v>88</v>
      </c>
      <c r="B124" s="47" t="s">
        <v>189</v>
      </c>
      <c r="C124" s="34" t="s">
        <v>7</v>
      </c>
      <c r="D124" s="34" t="s">
        <v>1</v>
      </c>
      <c r="E124" s="107"/>
      <c r="F124" s="107"/>
      <c r="G124" s="90">
        <f aca="true" t="shared" si="114" ref="G124:M124">G125+G137+G145</f>
        <v>3617.6000000000004</v>
      </c>
      <c r="H124" s="90">
        <f t="shared" si="114"/>
        <v>0</v>
      </c>
      <c r="I124" s="89">
        <f t="shared" si="114"/>
        <v>3617.6000000000004</v>
      </c>
      <c r="J124" s="90">
        <f t="shared" si="114"/>
        <v>0</v>
      </c>
      <c r="K124" s="89">
        <f t="shared" si="114"/>
        <v>3617.6000000000004</v>
      </c>
      <c r="L124" s="89">
        <f t="shared" si="114"/>
        <v>0</v>
      </c>
      <c r="M124" s="89">
        <f t="shared" si="114"/>
        <v>3617.6000000000004</v>
      </c>
      <c r="N124" s="89">
        <f aca="true" t="shared" si="115" ref="N124:S124">N125+N137+N145</f>
        <v>20</v>
      </c>
      <c r="O124" s="89">
        <f t="shared" si="115"/>
        <v>3637.6000000000004</v>
      </c>
      <c r="P124" s="89">
        <f t="shared" si="115"/>
        <v>200</v>
      </c>
      <c r="Q124" s="89">
        <f t="shared" si="115"/>
        <v>3837.6</v>
      </c>
      <c r="R124" s="89">
        <f t="shared" si="115"/>
        <v>0</v>
      </c>
      <c r="S124" s="209">
        <f t="shared" si="115"/>
        <v>3837.6</v>
      </c>
      <c r="T124" s="209">
        <f aca="true" t="shared" si="116" ref="T124:Y124">T125+T137+T145</f>
        <v>0</v>
      </c>
      <c r="U124" s="209">
        <f t="shared" si="116"/>
        <v>3837.6</v>
      </c>
      <c r="V124" s="209">
        <f t="shared" si="116"/>
        <v>-4.440892098500626E-16</v>
      </c>
      <c r="W124" s="209">
        <f t="shared" si="116"/>
        <v>3837.6000000000004</v>
      </c>
      <c r="X124" s="209">
        <f t="shared" si="116"/>
        <v>175.33</v>
      </c>
      <c r="Y124" s="236">
        <f t="shared" si="116"/>
        <v>4012.93</v>
      </c>
      <c r="Z124" s="236">
        <f aca="true" t="shared" si="117" ref="Z124:AE124">Z125+Z137+Z145</f>
        <v>0</v>
      </c>
      <c r="AA124" s="236">
        <f t="shared" si="117"/>
        <v>4012.93</v>
      </c>
      <c r="AB124" s="236">
        <f t="shared" si="117"/>
        <v>62.500000000000014</v>
      </c>
      <c r="AC124" s="236">
        <f t="shared" si="117"/>
        <v>4075.43</v>
      </c>
      <c r="AD124" s="236">
        <f t="shared" si="117"/>
        <v>0</v>
      </c>
      <c r="AE124" s="236">
        <f t="shared" si="117"/>
        <v>4075.43</v>
      </c>
    </row>
    <row r="125" spans="1:31" ht="27.75" customHeight="1">
      <c r="A125" s="54" t="s">
        <v>89</v>
      </c>
      <c r="B125" s="48" t="s">
        <v>189</v>
      </c>
      <c r="C125" s="27" t="s">
        <v>7</v>
      </c>
      <c r="D125" s="27" t="s">
        <v>1</v>
      </c>
      <c r="E125" s="51" t="s">
        <v>91</v>
      </c>
      <c r="F125" s="51"/>
      <c r="G125" s="61">
        <f aca="true" t="shared" si="118" ref="G125:M125">G128+G130+G126</f>
        <v>2617.7200000000003</v>
      </c>
      <c r="H125" s="61">
        <f t="shared" si="118"/>
        <v>0</v>
      </c>
      <c r="I125" s="71">
        <f t="shared" si="118"/>
        <v>2617.7200000000003</v>
      </c>
      <c r="J125" s="61">
        <f t="shared" si="118"/>
        <v>3.25</v>
      </c>
      <c r="K125" s="71">
        <f t="shared" si="118"/>
        <v>2620.9700000000003</v>
      </c>
      <c r="L125" s="71">
        <f t="shared" si="118"/>
        <v>0</v>
      </c>
      <c r="M125" s="71">
        <f t="shared" si="118"/>
        <v>2620.9700000000003</v>
      </c>
      <c r="N125" s="71">
        <f aca="true" t="shared" si="119" ref="N125:S125">N128+N130+N126</f>
        <v>20</v>
      </c>
      <c r="O125" s="71">
        <f t="shared" si="119"/>
        <v>2640.9700000000003</v>
      </c>
      <c r="P125" s="71">
        <f t="shared" si="119"/>
        <v>193.35</v>
      </c>
      <c r="Q125" s="71">
        <f t="shared" si="119"/>
        <v>2834.3199999999997</v>
      </c>
      <c r="R125" s="71">
        <f t="shared" si="119"/>
        <v>0</v>
      </c>
      <c r="S125" s="208">
        <f t="shared" si="119"/>
        <v>2834.3199999999997</v>
      </c>
      <c r="T125" s="208">
        <f aca="true" t="shared" si="120" ref="T125:Y125">T128+T130+T126</f>
        <v>0</v>
      </c>
      <c r="U125" s="208">
        <f t="shared" si="120"/>
        <v>2834.3199999999997</v>
      </c>
      <c r="V125" s="208">
        <f t="shared" si="120"/>
        <v>0.5999999999999996</v>
      </c>
      <c r="W125" s="208">
        <f t="shared" si="120"/>
        <v>2834.92</v>
      </c>
      <c r="X125" s="208">
        <f t="shared" si="120"/>
        <v>173.4</v>
      </c>
      <c r="Y125" s="235">
        <f t="shared" si="120"/>
        <v>3008.3199999999997</v>
      </c>
      <c r="Z125" s="235">
        <f>Z128+Z130+Z126</f>
        <v>0</v>
      </c>
      <c r="AA125" s="235">
        <f>AA128+AA130+AA126+AA148</f>
        <v>3008.3199999999997</v>
      </c>
      <c r="AB125" s="235">
        <f>AB128+AB130+AB126+AB148</f>
        <v>130.29080000000002</v>
      </c>
      <c r="AC125" s="235">
        <f>AC128+AC130+AC126+AC148</f>
        <v>3138.6108</v>
      </c>
      <c r="AD125" s="235">
        <f>AD128+AD130+AD126+AD148</f>
        <v>0</v>
      </c>
      <c r="AE125" s="235">
        <f>AE128+AE130+AE126+AE148</f>
        <v>3138.6108</v>
      </c>
    </row>
    <row r="126" spans="1:31" ht="15.75">
      <c r="A126" s="54" t="s">
        <v>104</v>
      </c>
      <c r="B126" s="48" t="s">
        <v>189</v>
      </c>
      <c r="C126" s="27" t="s">
        <v>106</v>
      </c>
      <c r="D126" s="27" t="s">
        <v>1</v>
      </c>
      <c r="E126" s="51" t="s">
        <v>105</v>
      </c>
      <c r="F126" s="51"/>
      <c r="G126" s="61">
        <f aca="true" t="shared" si="121" ref="G126:AE126">G127</f>
        <v>80</v>
      </c>
      <c r="H126" s="61">
        <f t="shared" si="121"/>
        <v>0</v>
      </c>
      <c r="I126" s="71">
        <f t="shared" si="121"/>
        <v>80</v>
      </c>
      <c r="J126" s="61">
        <f t="shared" si="121"/>
        <v>0</v>
      </c>
      <c r="K126" s="71">
        <f t="shared" si="121"/>
        <v>80</v>
      </c>
      <c r="L126" s="71">
        <f t="shared" si="121"/>
        <v>0</v>
      </c>
      <c r="M126" s="71">
        <f t="shared" si="121"/>
        <v>80</v>
      </c>
      <c r="N126" s="71">
        <f t="shared" si="121"/>
        <v>20</v>
      </c>
      <c r="O126" s="71">
        <f t="shared" si="121"/>
        <v>100</v>
      </c>
      <c r="P126" s="71">
        <f t="shared" si="121"/>
        <v>0</v>
      </c>
      <c r="Q126" s="71">
        <f t="shared" si="121"/>
        <v>100</v>
      </c>
      <c r="R126" s="71">
        <f t="shared" si="121"/>
        <v>0</v>
      </c>
      <c r="S126" s="208">
        <f t="shared" si="121"/>
        <v>100</v>
      </c>
      <c r="T126" s="208">
        <f t="shared" si="121"/>
        <v>0</v>
      </c>
      <c r="U126" s="208">
        <f t="shared" si="121"/>
        <v>100</v>
      </c>
      <c r="V126" s="208">
        <f t="shared" si="121"/>
        <v>0</v>
      </c>
      <c r="W126" s="208">
        <f t="shared" si="121"/>
        <v>100</v>
      </c>
      <c r="X126" s="208">
        <f t="shared" si="121"/>
        <v>0</v>
      </c>
      <c r="Y126" s="235">
        <f t="shared" si="121"/>
        <v>100</v>
      </c>
      <c r="Z126" s="235">
        <f t="shared" si="121"/>
        <v>0</v>
      </c>
      <c r="AA126" s="235">
        <f t="shared" si="121"/>
        <v>100</v>
      </c>
      <c r="AB126" s="235">
        <f t="shared" si="121"/>
        <v>0</v>
      </c>
      <c r="AC126" s="235">
        <f t="shared" si="121"/>
        <v>100</v>
      </c>
      <c r="AD126" s="235">
        <f t="shared" si="121"/>
        <v>0</v>
      </c>
      <c r="AE126" s="235">
        <f t="shared" si="121"/>
        <v>100</v>
      </c>
    </row>
    <row r="127" spans="1:31" ht="27" customHeight="1">
      <c r="A127" s="26" t="s">
        <v>183</v>
      </c>
      <c r="B127" s="48" t="s">
        <v>189</v>
      </c>
      <c r="C127" s="27" t="s">
        <v>7</v>
      </c>
      <c r="D127" s="27" t="s">
        <v>1</v>
      </c>
      <c r="E127" s="51" t="s">
        <v>105</v>
      </c>
      <c r="F127" s="27" t="s">
        <v>42</v>
      </c>
      <c r="G127" s="61">
        <v>80</v>
      </c>
      <c r="H127" s="88"/>
      <c r="I127" s="71">
        <f>G127+H127</f>
        <v>80</v>
      </c>
      <c r="J127" s="88"/>
      <c r="K127" s="71">
        <f>I127+J127</f>
        <v>80</v>
      </c>
      <c r="L127" s="71"/>
      <c r="M127" s="71">
        <f>K127+L127</f>
        <v>80</v>
      </c>
      <c r="N127" s="71">
        <f>20</f>
        <v>20</v>
      </c>
      <c r="O127" s="71">
        <f>M127+N127</f>
        <v>100</v>
      </c>
      <c r="P127" s="71">
        <v>0</v>
      </c>
      <c r="Q127" s="71">
        <f>O127+P127</f>
        <v>100</v>
      </c>
      <c r="R127" s="71"/>
      <c r="S127" s="208">
        <f>Q127+R127</f>
        <v>100</v>
      </c>
      <c r="T127" s="208"/>
      <c r="U127" s="208">
        <f>S127+T127</f>
        <v>100</v>
      </c>
      <c r="V127" s="208"/>
      <c r="W127" s="208">
        <f>U127+V127</f>
        <v>100</v>
      </c>
      <c r="X127" s="208"/>
      <c r="Y127" s="235">
        <f>W127+X127</f>
        <v>100</v>
      </c>
      <c r="Z127" s="235"/>
      <c r="AA127" s="235">
        <f>Y127+Z127</f>
        <v>100</v>
      </c>
      <c r="AB127" s="235"/>
      <c r="AC127" s="235">
        <f>AA127+AB127</f>
        <v>100</v>
      </c>
      <c r="AD127" s="235"/>
      <c r="AE127" s="235">
        <f>AC127+AD127</f>
        <v>100</v>
      </c>
    </row>
    <row r="128" spans="1:31" ht="27.75" customHeight="1">
      <c r="A128" s="26" t="s">
        <v>90</v>
      </c>
      <c r="B128" s="48" t="s">
        <v>189</v>
      </c>
      <c r="C128" s="27" t="s">
        <v>7</v>
      </c>
      <c r="D128" s="27" t="s">
        <v>1</v>
      </c>
      <c r="E128" s="51" t="s">
        <v>92</v>
      </c>
      <c r="F128" s="51"/>
      <c r="G128" s="61">
        <f aca="true" t="shared" si="122" ref="G128:AE128">G129</f>
        <v>9</v>
      </c>
      <c r="H128" s="61">
        <f t="shared" si="122"/>
        <v>0</v>
      </c>
      <c r="I128" s="71">
        <f t="shared" si="122"/>
        <v>9</v>
      </c>
      <c r="J128" s="61">
        <f t="shared" si="122"/>
        <v>0</v>
      </c>
      <c r="K128" s="71">
        <f t="shared" si="122"/>
        <v>9</v>
      </c>
      <c r="L128" s="71">
        <f t="shared" si="122"/>
        <v>0</v>
      </c>
      <c r="M128" s="71">
        <f t="shared" si="122"/>
        <v>9</v>
      </c>
      <c r="N128" s="71">
        <f t="shared" si="122"/>
        <v>0</v>
      </c>
      <c r="O128" s="71">
        <f t="shared" si="122"/>
        <v>9</v>
      </c>
      <c r="P128" s="71">
        <f t="shared" si="122"/>
        <v>0</v>
      </c>
      <c r="Q128" s="71">
        <f t="shared" si="122"/>
        <v>9</v>
      </c>
      <c r="R128" s="71">
        <f t="shared" si="122"/>
        <v>0</v>
      </c>
      <c r="S128" s="208">
        <f t="shared" si="122"/>
        <v>9</v>
      </c>
      <c r="T128" s="208">
        <f t="shared" si="122"/>
        <v>0</v>
      </c>
      <c r="U128" s="208">
        <f t="shared" si="122"/>
        <v>9</v>
      </c>
      <c r="V128" s="208">
        <f t="shared" si="122"/>
        <v>0</v>
      </c>
      <c r="W128" s="208">
        <f t="shared" si="122"/>
        <v>9</v>
      </c>
      <c r="X128" s="208">
        <f t="shared" si="122"/>
        <v>0</v>
      </c>
      <c r="Y128" s="235">
        <f t="shared" si="122"/>
        <v>9</v>
      </c>
      <c r="Z128" s="235">
        <f t="shared" si="122"/>
        <v>0</v>
      </c>
      <c r="AA128" s="235">
        <f t="shared" si="122"/>
        <v>9</v>
      </c>
      <c r="AB128" s="235">
        <f t="shared" si="122"/>
        <v>0</v>
      </c>
      <c r="AC128" s="235">
        <f t="shared" si="122"/>
        <v>9</v>
      </c>
      <c r="AD128" s="235">
        <f t="shared" si="122"/>
        <v>0</v>
      </c>
      <c r="AE128" s="235">
        <f t="shared" si="122"/>
        <v>9</v>
      </c>
    </row>
    <row r="129" spans="1:31" ht="16.5" customHeight="1">
      <c r="A129" s="26" t="s">
        <v>93</v>
      </c>
      <c r="B129" s="48" t="s">
        <v>189</v>
      </c>
      <c r="C129" s="27" t="s">
        <v>7</v>
      </c>
      <c r="D129" s="27" t="s">
        <v>1</v>
      </c>
      <c r="E129" s="51" t="s">
        <v>92</v>
      </c>
      <c r="F129" s="51" t="s">
        <v>22</v>
      </c>
      <c r="G129" s="61">
        <v>9</v>
      </c>
      <c r="H129" s="88"/>
      <c r="I129" s="71">
        <f>G129+H129</f>
        <v>9</v>
      </c>
      <c r="J129" s="88"/>
      <c r="K129" s="71">
        <f>I129+J129</f>
        <v>9</v>
      </c>
      <c r="L129" s="71"/>
      <c r="M129" s="71">
        <f>K129+L129</f>
        <v>9</v>
      </c>
      <c r="N129" s="71"/>
      <c r="O129" s="71">
        <f>M129+N129</f>
        <v>9</v>
      </c>
      <c r="P129" s="71"/>
      <c r="Q129" s="71">
        <f>O129+P129</f>
        <v>9</v>
      </c>
      <c r="R129" s="71"/>
      <c r="S129" s="208">
        <f>Q129+R129</f>
        <v>9</v>
      </c>
      <c r="T129" s="208"/>
      <c r="U129" s="208">
        <f>S129+T129</f>
        <v>9</v>
      </c>
      <c r="V129" s="208"/>
      <c r="W129" s="208">
        <f>U129+V129</f>
        <v>9</v>
      </c>
      <c r="X129" s="208"/>
      <c r="Y129" s="235">
        <f>W129+X129</f>
        <v>9</v>
      </c>
      <c r="Z129" s="235"/>
      <c r="AA129" s="235">
        <f>Y129+Z129</f>
        <v>9</v>
      </c>
      <c r="AB129" s="235"/>
      <c r="AC129" s="235">
        <f>AA129+AB129</f>
        <v>9</v>
      </c>
      <c r="AD129" s="235"/>
      <c r="AE129" s="235">
        <f>AC129+AD129</f>
        <v>9</v>
      </c>
    </row>
    <row r="130" spans="1:31" ht="38.25">
      <c r="A130" s="26" t="s">
        <v>94</v>
      </c>
      <c r="B130" s="48" t="s">
        <v>189</v>
      </c>
      <c r="C130" s="27" t="s">
        <v>7</v>
      </c>
      <c r="D130" s="27" t="s">
        <v>1</v>
      </c>
      <c r="E130" s="51" t="s">
        <v>98</v>
      </c>
      <c r="F130" s="51"/>
      <c r="G130" s="61">
        <f aca="true" t="shared" si="123" ref="G130:M130">G131+G132+G133+G134+G135+G136</f>
        <v>2528.7200000000003</v>
      </c>
      <c r="H130" s="61">
        <f t="shared" si="123"/>
        <v>0</v>
      </c>
      <c r="I130" s="71">
        <f t="shared" si="123"/>
        <v>2528.7200000000003</v>
      </c>
      <c r="J130" s="61">
        <f t="shared" si="123"/>
        <v>3.25</v>
      </c>
      <c r="K130" s="71">
        <f t="shared" si="123"/>
        <v>2531.9700000000003</v>
      </c>
      <c r="L130" s="71">
        <f t="shared" si="123"/>
        <v>0</v>
      </c>
      <c r="M130" s="71">
        <f t="shared" si="123"/>
        <v>2531.9700000000003</v>
      </c>
      <c r="N130" s="71">
        <f aca="true" t="shared" si="124" ref="N130:S130">N131+N132+N133+N134+N135+N136</f>
        <v>0</v>
      </c>
      <c r="O130" s="71">
        <f t="shared" si="124"/>
        <v>2531.9700000000003</v>
      </c>
      <c r="P130" s="71">
        <f t="shared" si="124"/>
        <v>193.35</v>
      </c>
      <c r="Q130" s="71">
        <f t="shared" si="124"/>
        <v>2725.3199999999997</v>
      </c>
      <c r="R130" s="71">
        <f t="shared" si="124"/>
        <v>0</v>
      </c>
      <c r="S130" s="208">
        <f t="shared" si="124"/>
        <v>2725.3199999999997</v>
      </c>
      <c r="T130" s="208">
        <f aca="true" t="shared" si="125" ref="T130:Y130">T131+T132+T133+T134+T135+T136</f>
        <v>0</v>
      </c>
      <c r="U130" s="208">
        <f t="shared" si="125"/>
        <v>2725.3199999999997</v>
      </c>
      <c r="V130" s="208">
        <f t="shared" si="125"/>
        <v>0.5999999999999996</v>
      </c>
      <c r="W130" s="208">
        <f t="shared" si="125"/>
        <v>2725.92</v>
      </c>
      <c r="X130" s="208">
        <f t="shared" si="125"/>
        <v>173.4</v>
      </c>
      <c r="Y130" s="235">
        <f t="shared" si="125"/>
        <v>2899.3199999999997</v>
      </c>
      <c r="Z130" s="235">
        <f aca="true" t="shared" si="126" ref="Z130:AE130">Z131+Z132+Z133+Z134+Z135+Z136</f>
        <v>0</v>
      </c>
      <c r="AA130" s="235">
        <f t="shared" si="126"/>
        <v>2899.3199999999997</v>
      </c>
      <c r="AB130" s="235">
        <f t="shared" si="126"/>
        <v>117.79080000000002</v>
      </c>
      <c r="AC130" s="235">
        <f t="shared" si="126"/>
        <v>3017.1108</v>
      </c>
      <c r="AD130" s="235">
        <f t="shared" si="126"/>
        <v>0</v>
      </c>
      <c r="AE130" s="235">
        <f t="shared" si="126"/>
        <v>3017.1108</v>
      </c>
    </row>
    <row r="131" spans="1:31" ht="15.75">
      <c r="A131" s="26" t="s">
        <v>29</v>
      </c>
      <c r="B131" s="48" t="s">
        <v>189</v>
      </c>
      <c r="C131" s="27" t="s">
        <v>7</v>
      </c>
      <c r="D131" s="27" t="s">
        <v>1</v>
      </c>
      <c r="E131" s="51" t="s">
        <v>98</v>
      </c>
      <c r="F131" s="27" t="s">
        <v>95</v>
      </c>
      <c r="G131" s="61">
        <v>1692.72</v>
      </c>
      <c r="H131" s="88"/>
      <c r="I131" s="71">
        <f aca="true" t="shared" si="127" ref="I131:K136">G131+H131</f>
        <v>1692.72</v>
      </c>
      <c r="J131" s="88"/>
      <c r="K131" s="71">
        <f t="shared" si="127"/>
        <v>1692.72</v>
      </c>
      <c r="L131" s="71"/>
      <c r="M131" s="71">
        <f aca="true" t="shared" si="128" ref="M131:M136">K131+L131</f>
        <v>1692.72</v>
      </c>
      <c r="N131" s="71"/>
      <c r="O131" s="71">
        <f aca="true" t="shared" si="129" ref="O131:O136">M131+N131</f>
        <v>1692.72</v>
      </c>
      <c r="P131" s="71">
        <f>37.1+40.5</f>
        <v>77.6</v>
      </c>
      <c r="Q131" s="71">
        <f aca="true" t="shared" si="130" ref="Q131:Q136">O131+P131</f>
        <v>1770.32</v>
      </c>
      <c r="R131" s="71"/>
      <c r="S131" s="208">
        <f aca="true" t="shared" si="131" ref="S131:S136">Q131+R131</f>
        <v>1770.32</v>
      </c>
      <c r="T131" s="208"/>
      <c r="U131" s="208">
        <f aca="true" t="shared" si="132" ref="U131:U136">S131+T131</f>
        <v>1770.32</v>
      </c>
      <c r="V131" s="208"/>
      <c r="W131" s="208">
        <f aca="true" t="shared" si="133" ref="W131:W136">U131+V131</f>
        <v>1770.32</v>
      </c>
      <c r="X131" s="208">
        <v>150</v>
      </c>
      <c r="Y131" s="235">
        <f aca="true" t="shared" si="134" ref="Y131:Y136">W131+X131</f>
        <v>1920.32</v>
      </c>
      <c r="Z131" s="235"/>
      <c r="AA131" s="235">
        <f aca="true" t="shared" si="135" ref="AA131:AA136">Y131+Z131</f>
        <v>1920.32</v>
      </c>
      <c r="AB131" s="235">
        <f>36.1+11.5+48.06076+20.2</f>
        <v>115.86076000000001</v>
      </c>
      <c r="AC131" s="235">
        <f aca="true" t="shared" si="136" ref="AC131:AC136">AA131+AB131</f>
        <v>2036.18076</v>
      </c>
      <c r="AD131" s="235"/>
      <c r="AE131" s="235">
        <f aca="true" t="shared" si="137" ref="AE131:AE136">AC131+AD131</f>
        <v>2036.18076</v>
      </c>
    </row>
    <row r="132" spans="1:31" ht="27.75" customHeight="1">
      <c r="A132" s="26" t="s">
        <v>37</v>
      </c>
      <c r="B132" s="48" t="s">
        <v>189</v>
      </c>
      <c r="C132" s="27" t="s">
        <v>7</v>
      </c>
      <c r="D132" s="27" t="s">
        <v>1</v>
      </c>
      <c r="E132" s="51" t="s">
        <v>98</v>
      </c>
      <c r="F132" s="27" t="s">
        <v>96</v>
      </c>
      <c r="G132" s="61">
        <v>2</v>
      </c>
      <c r="H132" s="88">
        <v>9</v>
      </c>
      <c r="I132" s="71">
        <f t="shared" si="127"/>
        <v>11</v>
      </c>
      <c r="J132" s="88"/>
      <c r="K132" s="71">
        <f t="shared" si="127"/>
        <v>11</v>
      </c>
      <c r="L132" s="71">
        <v>9</v>
      </c>
      <c r="M132" s="71">
        <f t="shared" si="128"/>
        <v>20</v>
      </c>
      <c r="N132" s="71"/>
      <c r="O132" s="71">
        <f t="shared" si="129"/>
        <v>20</v>
      </c>
      <c r="P132" s="71">
        <f>-3</f>
        <v>-3</v>
      </c>
      <c r="Q132" s="71">
        <f t="shared" si="130"/>
        <v>17</v>
      </c>
      <c r="R132" s="71"/>
      <c r="S132" s="208">
        <f t="shared" si="131"/>
        <v>17</v>
      </c>
      <c r="T132" s="208"/>
      <c r="U132" s="208">
        <f t="shared" si="132"/>
        <v>17</v>
      </c>
      <c r="V132" s="208">
        <v>-8.4</v>
      </c>
      <c r="W132" s="208">
        <f t="shared" si="133"/>
        <v>8.6</v>
      </c>
      <c r="X132" s="208"/>
      <c r="Y132" s="235">
        <f t="shared" si="134"/>
        <v>8.6</v>
      </c>
      <c r="Z132" s="235"/>
      <c r="AA132" s="235">
        <f t="shared" si="135"/>
        <v>8.6</v>
      </c>
      <c r="AB132" s="235">
        <f>-3.7406-1</f>
        <v>-4.740600000000001</v>
      </c>
      <c r="AC132" s="235">
        <f t="shared" si="136"/>
        <v>3.859399999999999</v>
      </c>
      <c r="AD132" s="235"/>
      <c r="AE132" s="235">
        <f t="shared" si="137"/>
        <v>3.859399999999999</v>
      </c>
    </row>
    <row r="133" spans="1:31" ht="25.5">
      <c r="A133" s="26" t="s">
        <v>39</v>
      </c>
      <c r="B133" s="48" t="s">
        <v>189</v>
      </c>
      <c r="C133" s="27" t="s">
        <v>7</v>
      </c>
      <c r="D133" s="27" t="s">
        <v>1</v>
      </c>
      <c r="E133" s="51" t="s">
        <v>98</v>
      </c>
      <c r="F133" s="27" t="s">
        <v>40</v>
      </c>
      <c r="G133" s="61">
        <v>6.3</v>
      </c>
      <c r="H133" s="88"/>
      <c r="I133" s="71">
        <f t="shared" si="127"/>
        <v>6.3</v>
      </c>
      <c r="J133" s="88"/>
      <c r="K133" s="71">
        <f t="shared" si="127"/>
        <v>6.3</v>
      </c>
      <c r="L133" s="71">
        <v>2.3</v>
      </c>
      <c r="M133" s="71">
        <f t="shared" si="128"/>
        <v>8.6</v>
      </c>
      <c r="N133" s="71"/>
      <c r="O133" s="71">
        <f t="shared" si="129"/>
        <v>8.6</v>
      </c>
      <c r="P133" s="71"/>
      <c r="Q133" s="71">
        <f t="shared" si="130"/>
        <v>8.6</v>
      </c>
      <c r="R133" s="71"/>
      <c r="S133" s="208">
        <f t="shared" si="131"/>
        <v>8.6</v>
      </c>
      <c r="T133" s="208"/>
      <c r="U133" s="208">
        <f t="shared" si="132"/>
        <v>8.6</v>
      </c>
      <c r="V133" s="208"/>
      <c r="W133" s="208">
        <f t="shared" si="133"/>
        <v>8.6</v>
      </c>
      <c r="X133" s="208"/>
      <c r="Y133" s="235">
        <f t="shared" si="134"/>
        <v>8.6</v>
      </c>
      <c r="Z133" s="235"/>
      <c r="AA133" s="235">
        <f t="shared" si="135"/>
        <v>8.6</v>
      </c>
      <c r="AB133" s="235">
        <f>0.3-4.725-0.41-1.59</f>
        <v>-6.425</v>
      </c>
      <c r="AC133" s="235">
        <f t="shared" si="136"/>
        <v>2.175</v>
      </c>
      <c r="AD133" s="235"/>
      <c r="AE133" s="235">
        <f t="shared" si="137"/>
        <v>2.175</v>
      </c>
    </row>
    <row r="134" spans="1:31" ht="27.75" customHeight="1">
      <c r="A134" s="26" t="s">
        <v>183</v>
      </c>
      <c r="B134" s="48" t="s">
        <v>189</v>
      </c>
      <c r="C134" s="27" t="s">
        <v>7</v>
      </c>
      <c r="D134" s="27" t="s">
        <v>1</v>
      </c>
      <c r="E134" s="51" t="s">
        <v>98</v>
      </c>
      <c r="F134" s="27" t="s">
        <v>42</v>
      </c>
      <c r="G134" s="61">
        <v>814.7</v>
      </c>
      <c r="H134" s="88">
        <v>-9</v>
      </c>
      <c r="I134" s="71">
        <f t="shared" si="127"/>
        <v>805.7</v>
      </c>
      <c r="J134" s="61">
        <v>6.5</v>
      </c>
      <c r="K134" s="71">
        <f t="shared" si="127"/>
        <v>812.2</v>
      </c>
      <c r="L134" s="71">
        <f>-9-2.3</f>
        <v>-11.3</v>
      </c>
      <c r="M134" s="71">
        <f t="shared" si="128"/>
        <v>800.9000000000001</v>
      </c>
      <c r="N134" s="71"/>
      <c r="O134" s="71">
        <f t="shared" si="129"/>
        <v>800.9000000000001</v>
      </c>
      <c r="P134" s="71">
        <f>12+55+55</f>
        <v>122</v>
      </c>
      <c r="Q134" s="71">
        <f t="shared" si="130"/>
        <v>922.9000000000001</v>
      </c>
      <c r="R134" s="71"/>
      <c r="S134" s="208">
        <f t="shared" si="131"/>
        <v>922.9000000000001</v>
      </c>
      <c r="T134" s="208"/>
      <c r="U134" s="208">
        <f t="shared" si="132"/>
        <v>922.9000000000001</v>
      </c>
      <c r="V134" s="208">
        <v>9</v>
      </c>
      <c r="W134" s="208">
        <f t="shared" si="133"/>
        <v>931.9000000000001</v>
      </c>
      <c r="X134" s="208">
        <v>23.4</v>
      </c>
      <c r="Y134" s="235">
        <f t="shared" si="134"/>
        <v>955.3000000000001</v>
      </c>
      <c r="Z134" s="235">
        <f>32.8-26.3+2.2-2.2</f>
        <v>6.499999999999996</v>
      </c>
      <c r="AA134" s="235">
        <f t="shared" si="135"/>
        <v>961.8000000000001</v>
      </c>
      <c r="AB134" s="235">
        <f>2-2.99378-13.19138+27.1808</f>
        <v>12.995640000000002</v>
      </c>
      <c r="AC134" s="235">
        <f t="shared" si="136"/>
        <v>974.79564</v>
      </c>
      <c r="AD134" s="235"/>
      <c r="AE134" s="235">
        <f t="shared" si="137"/>
        <v>974.79564</v>
      </c>
    </row>
    <row r="135" spans="1:31" ht="18" customHeight="1" hidden="1">
      <c r="A135" s="26" t="s">
        <v>97</v>
      </c>
      <c r="B135" s="48" t="s">
        <v>189</v>
      </c>
      <c r="C135" s="27" t="s">
        <v>7</v>
      </c>
      <c r="D135" s="27" t="s">
        <v>1</v>
      </c>
      <c r="E135" s="51" t="s">
        <v>98</v>
      </c>
      <c r="F135" s="27" t="s">
        <v>99</v>
      </c>
      <c r="G135" s="61">
        <v>0</v>
      </c>
      <c r="H135" s="88"/>
      <c r="I135" s="71">
        <f t="shared" si="127"/>
        <v>0</v>
      </c>
      <c r="J135" s="88"/>
      <c r="K135" s="71">
        <f t="shared" si="127"/>
        <v>0</v>
      </c>
      <c r="L135" s="71"/>
      <c r="M135" s="71">
        <f t="shared" si="128"/>
        <v>0</v>
      </c>
      <c r="N135" s="71"/>
      <c r="O135" s="71">
        <f t="shared" si="129"/>
        <v>0</v>
      </c>
      <c r="P135" s="71">
        <f>N135+O135</f>
        <v>0</v>
      </c>
      <c r="Q135" s="71">
        <f t="shared" si="130"/>
        <v>0</v>
      </c>
      <c r="R135" s="71"/>
      <c r="S135" s="208">
        <f t="shared" si="131"/>
        <v>0</v>
      </c>
      <c r="T135" s="208">
        <f>R135+S135</f>
        <v>0</v>
      </c>
      <c r="U135" s="208">
        <f t="shared" si="132"/>
        <v>0</v>
      </c>
      <c r="V135" s="208"/>
      <c r="W135" s="208">
        <f t="shared" si="133"/>
        <v>0</v>
      </c>
      <c r="X135" s="208"/>
      <c r="Y135" s="235">
        <f t="shared" si="134"/>
        <v>0</v>
      </c>
      <c r="Z135" s="235"/>
      <c r="AA135" s="235">
        <f t="shared" si="135"/>
        <v>0</v>
      </c>
      <c r="AB135" s="235"/>
      <c r="AC135" s="235">
        <f t="shared" si="136"/>
        <v>0</v>
      </c>
      <c r="AD135" s="235"/>
      <c r="AE135" s="235">
        <f t="shared" si="137"/>
        <v>0</v>
      </c>
    </row>
    <row r="136" spans="1:31" ht="15" customHeight="1">
      <c r="A136" s="26" t="s">
        <v>43</v>
      </c>
      <c r="B136" s="48" t="s">
        <v>189</v>
      </c>
      <c r="C136" s="27" t="s">
        <v>7</v>
      </c>
      <c r="D136" s="27" t="s">
        <v>1</v>
      </c>
      <c r="E136" s="51" t="s">
        <v>98</v>
      </c>
      <c r="F136" s="27" t="s">
        <v>44</v>
      </c>
      <c r="G136" s="61">
        <v>13</v>
      </c>
      <c r="H136" s="88"/>
      <c r="I136" s="71">
        <f t="shared" si="127"/>
        <v>13</v>
      </c>
      <c r="J136" s="88">
        <v>-3.25</v>
      </c>
      <c r="K136" s="71">
        <f t="shared" si="127"/>
        <v>9.75</v>
      </c>
      <c r="L136" s="71"/>
      <c r="M136" s="71">
        <f t="shared" si="128"/>
        <v>9.75</v>
      </c>
      <c r="N136" s="71"/>
      <c r="O136" s="71">
        <f t="shared" si="129"/>
        <v>9.75</v>
      </c>
      <c r="P136" s="71">
        <f>-3.25</f>
        <v>-3.25</v>
      </c>
      <c r="Q136" s="71">
        <f t="shared" si="130"/>
        <v>6.5</v>
      </c>
      <c r="R136" s="71"/>
      <c r="S136" s="208">
        <f t="shared" si="131"/>
        <v>6.5</v>
      </c>
      <c r="T136" s="208"/>
      <c r="U136" s="208">
        <f t="shared" si="132"/>
        <v>6.5</v>
      </c>
      <c r="V136" s="208"/>
      <c r="W136" s="208">
        <f t="shared" si="133"/>
        <v>6.5</v>
      </c>
      <c r="X136" s="208"/>
      <c r="Y136" s="235">
        <f t="shared" si="134"/>
        <v>6.5</v>
      </c>
      <c r="Z136" s="235">
        <v>-6.5</v>
      </c>
      <c r="AA136" s="235">
        <f t="shared" si="135"/>
        <v>0</v>
      </c>
      <c r="AB136" s="235">
        <f>0.1-6.5+6.5</f>
        <v>0.09999999999999964</v>
      </c>
      <c r="AC136" s="235">
        <f t="shared" si="136"/>
        <v>0.09999999999999964</v>
      </c>
      <c r="AD136" s="235"/>
      <c r="AE136" s="235">
        <f t="shared" si="137"/>
        <v>0.09999999999999964</v>
      </c>
    </row>
    <row r="137" spans="1:31" ht="15.75">
      <c r="A137" s="26" t="s">
        <v>19</v>
      </c>
      <c r="B137" s="48" t="s">
        <v>189</v>
      </c>
      <c r="C137" s="27" t="s">
        <v>7</v>
      </c>
      <c r="D137" s="27" t="s">
        <v>1</v>
      </c>
      <c r="E137" s="51" t="s">
        <v>100</v>
      </c>
      <c r="F137" s="51"/>
      <c r="G137" s="61">
        <f aca="true" t="shared" si="138" ref="G137:AE137">G138</f>
        <v>647.88</v>
      </c>
      <c r="H137" s="61">
        <f t="shared" si="138"/>
        <v>0</v>
      </c>
      <c r="I137" s="71">
        <f t="shared" si="138"/>
        <v>647.88</v>
      </c>
      <c r="J137" s="61">
        <f t="shared" si="138"/>
        <v>-3.25</v>
      </c>
      <c r="K137" s="71">
        <f t="shared" si="138"/>
        <v>644.63</v>
      </c>
      <c r="L137" s="71">
        <f t="shared" si="138"/>
        <v>0</v>
      </c>
      <c r="M137" s="71">
        <f t="shared" si="138"/>
        <v>644.6300000000001</v>
      </c>
      <c r="N137" s="71">
        <f t="shared" si="138"/>
        <v>0</v>
      </c>
      <c r="O137" s="71">
        <f t="shared" si="138"/>
        <v>644.6300000000001</v>
      </c>
      <c r="P137" s="71">
        <f t="shared" si="138"/>
        <v>-5.75</v>
      </c>
      <c r="Q137" s="71">
        <f t="shared" si="138"/>
        <v>638.8800000000001</v>
      </c>
      <c r="R137" s="71">
        <f t="shared" si="138"/>
        <v>0</v>
      </c>
      <c r="S137" s="208">
        <f t="shared" si="138"/>
        <v>638.8800000000001</v>
      </c>
      <c r="T137" s="208">
        <f t="shared" si="138"/>
        <v>0</v>
      </c>
      <c r="U137" s="208">
        <f t="shared" si="138"/>
        <v>638.8800000000001</v>
      </c>
      <c r="V137" s="208">
        <f t="shared" si="138"/>
        <v>-0.6000000000000001</v>
      </c>
      <c r="W137" s="208">
        <f t="shared" si="138"/>
        <v>638.2800000000001</v>
      </c>
      <c r="X137" s="208">
        <f t="shared" si="138"/>
        <v>1.93</v>
      </c>
      <c r="Y137" s="235">
        <f t="shared" si="138"/>
        <v>640.21</v>
      </c>
      <c r="Z137" s="235">
        <f t="shared" si="138"/>
        <v>0</v>
      </c>
      <c r="AA137" s="235">
        <f t="shared" si="138"/>
        <v>640.21</v>
      </c>
      <c r="AB137" s="235">
        <f t="shared" si="138"/>
        <v>-77.7908</v>
      </c>
      <c r="AC137" s="235">
        <f t="shared" si="138"/>
        <v>562.4191999999999</v>
      </c>
      <c r="AD137" s="235">
        <f t="shared" si="138"/>
        <v>0</v>
      </c>
      <c r="AE137" s="235">
        <f t="shared" si="138"/>
        <v>562.4191999999999</v>
      </c>
    </row>
    <row r="138" spans="1:31" ht="38.25">
      <c r="A138" s="26" t="s">
        <v>94</v>
      </c>
      <c r="B138" s="48" t="s">
        <v>189</v>
      </c>
      <c r="C138" s="27" t="s">
        <v>7</v>
      </c>
      <c r="D138" s="27" t="s">
        <v>1</v>
      </c>
      <c r="E138" s="51" t="s">
        <v>101</v>
      </c>
      <c r="F138" s="51"/>
      <c r="G138" s="61">
        <f aca="true" t="shared" si="139" ref="G138:M138">G139+G140+G141+G142+G143+G144</f>
        <v>647.88</v>
      </c>
      <c r="H138" s="61">
        <f t="shared" si="139"/>
        <v>0</v>
      </c>
      <c r="I138" s="71">
        <f t="shared" si="139"/>
        <v>647.88</v>
      </c>
      <c r="J138" s="61">
        <f t="shared" si="139"/>
        <v>-3.25</v>
      </c>
      <c r="K138" s="71">
        <f t="shared" si="139"/>
        <v>644.63</v>
      </c>
      <c r="L138" s="71">
        <f t="shared" si="139"/>
        <v>0</v>
      </c>
      <c r="M138" s="71">
        <f t="shared" si="139"/>
        <v>644.6300000000001</v>
      </c>
      <c r="N138" s="71">
        <f aca="true" t="shared" si="140" ref="N138:S138">N139+N140+N141+N142+N143+N144</f>
        <v>0</v>
      </c>
      <c r="O138" s="71">
        <f t="shared" si="140"/>
        <v>644.6300000000001</v>
      </c>
      <c r="P138" s="71">
        <f t="shared" si="140"/>
        <v>-5.75</v>
      </c>
      <c r="Q138" s="71">
        <f t="shared" si="140"/>
        <v>638.8800000000001</v>
      </c>
      <c r="R138" s="71">
        <f t="shared" si="140"/>
        <v>0</v>
      </c>
      <c r="S138" s="208">
        <f t="shared" si="140"/>
        <v>638.8800000000001</v>
      </c>
      <c r="T138" s="208">
        <f aca="true" t="shared" si="141" ref="T138:Y138">T139+T140+T141+T142+T143+T144</f>
        <v>0</v>
      </c>
      <c r="U138" s="208">
        <f t="shared" si="141"/>
        <v>638.8800000000001</v>
      </c>
      <c r="V138" s="208">
        <f t="shared" si="141"/>
        <v>-0.6000000000000001</v>
      </c>
      <c r="W138" s="208">
        <f t="shared" si="141"/>
        <v>638.2800000000001</v>
      </c>
      <c r="X138" s="208">
        <f t="shared" si="141"/>
        <v>1.93</v>
      </c>
      <c r="Y138" s="235">
        <f t="shared" si="141"/>
        <v>640.21</v>
      </c>
      <c r="Z138" s="235">
        <f aca="true" t="shared" si="142" ref="Z138:AE138">Z139+Z140+Z141+Z142+Z143+Z144</f>
        <v>0</v>
      </c>
      <c r="AA138" s="235">
        <f t="shared" si="142"/>
        <v>640.21</v>
      </c>
      <c r="AB138" s="235">
        <f t="shared" si="142"/>
        <v>-77.7908</v>
      </c>
      <c r="AC138" s="235">
        <f t="shared" si="142"/>
        <v>562.4191999999999</v>
      </c>
      <c r="AD138" s="235">
        <f t="shared" si="142"/>
        <v>0</v>
      </c>
      <c r="AE138" s="235">
        <f t="shared" si="142"/>
        <v>562.4191999999999</v>
      </c>
    </row>
    <row r="139" spans="1:31" ht="15.75">
      <c r="A139" s="26" t="s">
        <v>29</v>
      </c>
      <c r="B139" s="48" t="s">
        <v>189</v>
      </c>
      <c r="C139" s="27" t="s">
        <v>7</v>
      </c>
      <c r="D139" s="27" t="s">
        <v>1</v>
      </c>
      <c r="E139" s="51" t="s">
        <v>101</v>
      </c>
      <c r="F139" s="27" t="s">
        <v>95</v>
      </c>
      <c r="G139" s="61">
        <v>557.33</v>
      </c>
      <c r="H139" s="88"/>
      <c r="I139" s="71">
        <f aca="true" t="shared" si="143" ref="I139:K144">G139+H139</f>
        <v>557.33</v>
      </c>
      <c r="J139" s="88"/>
      <c r="K139" s="71">
        <f t="shared" si="143"/>
        <v>557.33</v>
      </c>
      <c r="L139" s="71"/>
      <c r="M139" s="71">
        <f aca="true" t="shared" si="144" ref="M139:M144">K139+L139</f>
        <v>557.33</v>
      </c>
      <c r="N139" s="71"/>
      <c r="O139" s="71">
        <f aca="true" t="shared" si="145" ref="O139:O144">M139+N139</f>
        <v>557.33</v>
      </c>
      <c r="P139" s="71"/>
      <c r="Q139" s="71">
        <f aca="true" t="shared" si="146" ref="Q139:Q144">O139+P139</f>
        <v>557.33</v>
      </c>
      <c r="R139" s="71"/>
      <c r="S139" s="208">
        <f aca="true" t="shared" si="147" ref="S139:S144">Q139+R139</f>
        <v>557.33</v>
      </c>
      <c r="T139" s="208"/>
      <c r="U139" s="208">
        <f aca="true" t="shared" si="148" ref="U139:U144">S139+T139</f>
        <v>557.33</v>
      </c>
      <c r="V139" s="208"/>
      <c r="W139" s="208">
        <f aca="true" t="shared" si="149" ref="W139:W144">U139+V139</f>
        <v>557.33</v>
      </c>
      <c r="X139" s="208"/>
      <c r="Y139" s="235">
        <f aca="true" t="shared" si="150" ref="Y139:Y144">W139+X139</f>
        <v>557.33</v>
      </c>
      <c r="Z139" s="235"/>
      <c r="AA139" s="235">
        <f aca="true" t="shared" si="151" ref="AA139:AA144">Y139+Z139</f>
        <v>557.33</v>
      </c>
      <c r="AB139" s="235">
        <f>-20.2-10-6.5</f>
        <v>-36.7</v>
      </c>
      <c r="AC139" s="235">
        <f aca="true" t="shared" si="152" ref="AC139:AC144">AA139+AB139</f>
        <v>520.63</v>
      </c>
      <c r="AD139" s="235"/>
      <c r="AE139" s="235">
        <f aca="true" t="shared" si="153" ref="AE139:AE144">AC139+AD139</f>
        <v>520.63</v>
      </c>
    </row>
    <row r="140" spans="1:31" ht="26.25" customHeight="1" hidden="1">
      <c r="A140" s="26" t="s">
        <v>37</v>
      </c>
      <c r="B140" s="48" t="s">
        <v>189</v>
      </c>
      <c r="C140" s="27" t="s">
        <v>7</v>
      </c>
      <c r="D140" s="27" t="s">
        <v>1</v>
      </c>
      <c r="E140" s="51" t="s">
        <v>101</v>
      </c>
      <c r="F140" s="27" t="s">
        <v>96</v>
      </c>
      <c r="G140" s="61">
        <v>0</v>
      </c>
      <c r="H140" s="88">
        <v>3</v>
      </c>
      <c r="I140" s="71">
        <f t="shared" si="143"/>
        <v>3</v>
      </c>
      <c r="J140" s="88"/>
      <c r="K140" s="71">
        <f t="shared" si="143"/>
        <v>3</v>
      </c>
      <c r="L140" s="71">
        <v>0.6</v>
      </c>
      <c r="M140" s="71">
        <f t="shared" si="144"/>
        <v>3.6</v>
      </c>
      <c r="N140" s="71"/>
      <c r="O140" s="71">
        <f t="shared" si="145"/>
        <v>3.6</v>
      </c>
      <c r="P140" s="71"/>
      <c r="Q140" s="71">
        <f t="shared" si="146"/>
        <v>3.6</v>
      </c>
      <c r="R140" s="71"/>
      <c r="S140" s="208">
        <f t="shared" si="147"/>
        <v>3.6</v>
      </c>
      <c r="T140" s="208"/>
      <c r="U140" s="208">
        <f t="shared" si="148"/>
        <v>3.6</v>
      </c>
      <c r="V140" s="208">
        <v>-3.6</v>
      </c>
      <c r="W140" s="208">
        <f t="shared" si="149"/>
        <v>0</v>
      </c>
      <c r="X140" s="208"/>
      <c r="Y140" s="235">
        <f t="shared" si="150"/>
        <v>0</v>
      </c>
      <c r="Z140" s="235"/>
      <c r="AA140" s="235">
        <f t="shared" si="151"/>
        <v>0</v>
      </c>
      <c r="AB140" s="235"/>
      <c r="AC140" s="235">
        <f t="shared" si="152"/>
        <v>0</v>
      </c>
      <c r="AD140" s="235"/>
      <c r="AE140" s="235">
        <f t="shared" si="153"/>
        <v>0</v>
      </c>
    </row>
    <row r="141" spans="1:31" ht="25.5">
      <c r="A141" s="26" t="s">
        <v>39</v>
      </c>
      <c r="B141" s="48" t="s">
        <v>189</v>
      </c>
      <c r="C141" s="27" t="s">
        <v>7</v>
      </c>
      <c r="D141" s="27" t="s">
        <v>1</v>
      </c>
      <c r="E141" s="51" t="s">
        <v>101</v>
      </c>
      <c r="F141" s="27" t="s">
        <v>40</v>
      </c>
      <c r="G141" s="61">
        <v>20</v>
      </c>
      <c r="H141" s="88"/>
      <c r="I141" s="71">
        <f t="shared" si="143"/>
        <v>20</v>
      </c>
      <c r="J141" s="88"/>
      <c r="K141" s="71">
        <f t="shared" si="143"/>
        <v>20</v>
      </c>
      <c r="L141" s="71"/>
      <c r="M141" s="71">
        <f t="shared" si="144"/>
        <v>20</v>
      </c>
      <c r="N141" s="71"/>
      <c r="O141" s="71">
        <f t="shared" si="145"/>
        <v>20</v>
      </c>
      <c r="P141" s="71"/>
      <c r="Q141" s="71">
        <f t="shared" si="146"/>
        <v>20</v>
      </c>
      <c r="R141" s="71"/>
      <c r="S141" s="208">
        <f t="shared" si="147"/>
        <v>20</v>
      </c>
      <c r="T141" s="208"/>
      <c r="U141" s="208">
        <f t="shared" si="148"/>
        <v>20</v>
      </c>
      <c r="V141" s="208"/>
      <c r="W141" s="208">
        <f t="shared" si="149"/>
        <v>20</v>
      </c>
      <c r="X141" s="208">
        <v>1.39</v>
      </c>
      <c r="Y141" s="235">
        <f t="shared" si="150"/>
        <v>21.39</v>
      </c>
      <c r="Z141" s="235"/>
      <c r="AA141" s="235">
        <f t="shared" si="151"/>
        <v>21.39</v>
      </c>
      <c r="AB141" s="235">
        <f>-2.465</f>
        <v>-2.465</v>
      </c>
      <c r="AC141" s="235">
        <f t="shared" si="152"/>
        <v>18.925</v>
      </c>
      <c r="AD141" s="235"/>
      <c r="AE141" s="235">
        <f t="shared" si="153"/>
        <v>18.925</v>
      </c>
    </row>
    <row r="142" spans="1:31" ht="27" customHeight="1">
      <c r="A142" s="26" t="s">
        <v>183</v>
      </c>
      <c r="B142" s="48" t="s">
        <v>189</v>
      </c>
      <c r="C142" s="27" t="s">
        <v>7</v>
      </c>
      <c r="D142" s="27" t="s">
        <v>1</v>
      </c>
      <c r="E142" s="51" t="s">
        <v>101</v>
      </c>
      <c r="F142" s="27" t="s">
        <v>42</v>
      </c>
      <c r="G142" s="61">
        <v>65.55</v>
      </c>
      <c r="H142" s="88">
        <v>-3</v>
      </c>
      <c r="I142" s="71">
        <f t="shared" si="143"/>
        <v>62.55</v>
      </c>
      <c r="J142" s="88">
        <v>-2</v>
      </c>
      <c r="K142" s="71">
        <f t="shared" si="143"/>
        <v>60.55</v>
      </c>
      <c r="L142" s="71">
        <v>-0.6</v>
      </c>
      <c r="M142" s="71">
        <f t="shared" si="144"/>
        <v>59.949999999999996</v>
      </c>
      <c r="N142" s="71"/>
      <c r="O142" s="71">
        <f t="shared" si="145"/>
        <v>59.949999999999996</v>
      </c>
      <c r="P142" s="71">
        <f>-5-0.75</f>
        <v>-5.75</v>
      </c>
      <c r="Q142" s="71">
        <f t="shared" si="146"/>
        <v>54.199999999999996</v>
      </c>
      <c r="R142" s="71"/>
      <c r="S142" s="208">
        <f t="shared" si="147"/>
        <v>54.199999999999996</v>
      </c>
      <c r="T142" s="208"/>
      <c r="U142" s="208">
        <f t="shared" si="148"/>
        <v>54.199999999999996</v>
      </c>
      <c r="V142" s="208">
        <v>3</v>
      </c>
      <c r="W142" s="208">
        <f t="shared" si="149"/>
        <v>57.199999999999996</v>
      </c>
      <c r="X142" s="208">
        <v>0.54</v>
      </c>
      <c r="Y142" s="235">
        <f t="shared" si="150"/>
        <v>57.739999999999995</v>
      </c>
      <c r="Z142" s="235"/>
      <c r="AA142" s="235">
        <f t="shared" si="151"/>
        <v>57.739999999999995</v>
      </c>
      <c r="AB142" s="235">
        <f>-15.5-1.65-11.5-0.2258-6</f>
        <v>-34.8758</v>
      </c>
      <c r="AC142" s="235">
        <f t="shared" si="152"/>
        <v>22.864199999999997</v>
      </c>
      <c r="AD142" s="235"/>
      <c r="AE142" s="235">
        <f t="shared" si="153"/>
        <v>22.864199999999997</v>
      </c>
    </row>
    <row r="143" spans="1:31" ht="16.5" customHeight="1" hidden="1">
      <c r="A143" s="26" t="s">
        <v>97</v>
      </c>
      <c r="B143" s="48" t="s">
        <v>189</v>
      </c>
      <c r="C143" s="27" t="s">
        <v>7</v>
      </c>
      <c r="D143" s="27" t="s">
        <v>1</v>
      </c>
      <c r="E143" s="51" t="s">
        <v>101</v>
      </c>
      <c r="F143" s="27" t="s">
        <v>99</v>
      </c>
      <c r="G143" s="61">
        <v>0</v>
      </c>
      <c r="H143" s="88"/>
      <c r="I143" s="71">
        <f t="shared" si="143"/>
        <v>0</v>
      </c>
      <c r="J143" s="88"/>
      <c r="K143" s="71">
        <f t="shared" si="143"/>
        <v>0</v>
      </c>
      <c r="L143" s="71"/>
      <c r="M143" s="71">
        <f t="shared" si="144"/>
        <v>0</v>
      </c>
      <c r="N143" s="71"/>
      <c r="O143" s="71">
        <f t="shared" si="145"/>
        <v>0</v>
      </c>
      <c r="P143" s="71">
        <f>N143+O143</f>
        <v>0</v>
      </c>
      <c r="Q143" s="71">
        <f t="shared" si="146"/>
        <v>0</v>
      </c>
      <c r="R143" s="71"/>
      <c r="S143" s="208">
        <f t="shared" si="147"/>
        <v>0</v>
      </c>
      <c r="T143" s="208"/>
      <c r="U143" s="208">
        <f t="shared" si="148"/>
        <v>0</v>
      </c>
      <c r="V143" s="208"/>
      <c r="W143" s="208">
        <f t="shared" si="149"/>
        <v>0</v>
      </c>
      <c r="X143" s="208"/>
      <c r="Y143" s="235">
        <f t="shared" si="150"/>
        <v>0</v>
      </c>
      <c r="Z143" s="235"/>
      <c r="AA143" s="235">
        <f t="shared" si="151"/>
        <v>0</v>
      </c>
      <c r="AB143" s="235"/>
      <c r="AC143" s="235">
        <f t="shared" si="152"/>
        <v>0</v>
      </c>
      <c r="AD143" s="235"/>
      <c r="AE143" s="235">
        <f t="shared" si="153"/>
        <v>0</v>
      </c>
    </row>
    <row r="144" spans="1:31" ht="17.25" customHeight="1">
      <c r="A144" s="26" t="s">
        <v>43</v>
      </c>
      <c r="B144" s="48" t="s">
        <v>189</v>
      </c>
      <c r="C144" s="27" t="s">
        <v>7</v>
      </c>
      <c r="D144" s="27" t="s">
        <v>1</v>
      </c>
      <c r="E144" s="51" t="s">
        <v>101</v>
      </c>
      <c r="F144" s="27" t="s">
        <v>44</v>
      </c>
      <c r="G144" s="61">
        <v>5</v>
      </c>
      <c r="H144" s="88"/>
      <c r="I144" s="71">
        <f t="shared" si="143"/>
        <v>5</v>
      </c>
      <c r="J144" s="88">
        <v>-1.25</v>
      </c>
      <c r="K144" s="71">
        <f t="shared" si="143"/>
        <v>3.75</v>
      </c>
      <c r="L144" s="71"/>
      <c r="M144" s="71">
        <f t="shared" si="144"/>
        <v>3.75</v>
      </c>
      <c r="N144" s="71"/>
      <c r="O144" s="71">
        <f t="shared" si="145"/>
        <v>3.75</v>
      </c>
      <c r="P144" s="71"/>
      <c r="Q144" s="71">
        <f t="shared" si="146"/>
        <v>3.75</v>
      </c>
      <c r="R144" s="71"/>
      <c r="S144" s="208">
        <f t="shared" si="147"/>
        <v>3.75</v>
      </c>
      <c r="T144" s="208"/>
      <c r="U144" s="208">
        <f t="shared" si="148"/>
        <v>3.75</v>
      </c>
      <c r="V144" s="208"/>
      <c r="W144" s="208">
        <f t="shared" si="149"/>
        <v>3.75</v>
      </c>
      <c r="X144" s="208"/>
      <c r="Y144" s="235">
        <f t="shared" si="150"/>
        <v>3.75</v>
      </c>
      <c r="Z144" s="235"/>
      <c r="AA144" s="235">
        <f t="shared" si="151"/>
        <v>3.75</v>
      </c>
      <c r="AB144" s="235">
        <v>-3.75</v>
      </c>
      <c r="AC144" s="235">
        <f t="shared" si="152"/>
        <v>0</v>
      </c>
      <c r="AD144" s="235"/>
      <c r="AE144" s="235">
        <f t="shared" si="153"/>
        <v>0</v>
      </c>
    </row>
    <row r="145" spans="1:31" ht="27" customHeight="1">
      <c r="A145" s="26" t="s">
        <v>151</v>
      </c>
      <c r="B145" s="48" t="s">
        <v>189</v>
      </c>
      <c r="C145" s="27" t="s">
        <v>7</v>
      </c>
      <c r="D145" s="27" t="s">
        <v>1</v>
      </c>
      <c r="E145" s="51" t="s">
        <v>103</v>
      </c>
      <c r="F145" s="27"/>
      <c r="G145" s="61">
        <f aca="true" t="shared" si="154" ref="G145:V146">G146</f>
        <v>352</v>
      </c>
      <c r="H145" s="61">
        <f t="shared" si="154"/>
        <v>0</v>
      </c>
      <c r="I145" s="71">
        <f t="shared" si="154"/>
        <v>352</v>
      </c>
      <c r="J145" s="61">
        <f t="shared" si="154"/>
        <v>0</v>
      </c>
      <c r="K145" s="71">
        <f t="shared" si="154"/>
        <v>352</v>
      </c>
      <c r="L145" s="71">
        <f t="shared" si="154"/>
        <v>0</v>
      </c>
      <c r="M145" s="71">
        <f t="shared" si="154"/>
        <v>352</v>
      </c>
      <c r="N145" s="71">
        <f t="shared" si="154"/>
        <v>0</v>
      </c>
      <c r="O145" s="71">
        <f t="shared" si="154"/>
        <v>352</v>
      </c>
      <c r="P145" s="71">
        <f t="shared" si="154"/>
        <v>12.399999999999999</v>
      </c>
      <c r="Q145" s="71">
        <f t="shared" si="154"/>
        <v>364.4</v>
      </c>
      <c r="R145" s="71">
        <f t="shared" si="154"/>
        <v>0</v>
      </c>
      <c r="S145" s="208">
        <f t="shared" si="154"/>
        <v>364.4</v>
      </c>
      <c r="T145" s="208">
        <f t="shared" si="154"/>
        <v>0</v>
      </c>
      <c r="U145" s="208">
        <f t="shared" si="154"/>
        <v>364.4</v>
      </c>
      <c r="V145" s="208">
        <f t="shared" si="154"/>
        <v>0</v>
      </c>
      <c r="W145" s="208">
        <f aca="true" t="shared" si="155" ref="W145:AE146">W146</f>
        <v>364.4</v>
      </c>
      <c r="X145" s="208">
        <f t="shared" si="155"/>
        <v>0</v>
      </c>
      <c r="Y145" s="235">
        <f t="shared" si="155"/>
        <v>364.4</v>
      </c>
      <c r="Z145" s="235">
        <f t="shared" si="155"/>
        <v>0</v>
      </c>
      <c r="AA145" s="235">
        <f t="shared" si="155"/>
        <v>364.4</v>
      </c>
      <c r="AB145" s="235">
        <f t="shared" si="155"/>
        <v>10</v>
      </c>
      <c r="AC145" s="235">
        <f t="shared" si="155"/>
        <v>374.4</v>
      </c>
      <c r="AD145" s="235">
        <f t="shared" si="155"/>
        <v>0</v>
      </c>
      <c r="AE145" s="235">
        <f t="shared" si="155"/>
        <v>374.4</v>
      </c>
    </row>
    <row r="146" spans="1:31" ht="38.25">
      <c r="A146" s="26" t="s">
        <v>94</v>
      </c>
      <c r="B146" s="48" t="s">
        <v>189</v>
      </c>
      <c r="C146" s="27" t="s">
        <v>7</v>
      </c>
      <c r="D146" s="27" t="s">
        <v>1</v>
      </c>
      <c r="E146" s="51" t="s">
        <v>102</v>
      </c>
      <c r="F146" s="51"/>
      <c r="G146" s="61">
        <f t="shared" si="154"/>
        <v>352</v>
      </c>
      <c r="H146" s="61">
        <f t="shared" si="154"/>
        <v>0</v>
      </c>
      <c r="I146" s="71">
        <f t="shared" si="154"/>
        <v>352</v>
      </c>
      <c r="J146" s="61">
        <f t="shared" si="154"/>
        <v>0</v>
      </c>
      <c r="K146" s="71">
        <f t="shared" si="154"/>
        <v>352</v>
      </c>
      <c r="L146" s="71">
        <f t="shared" si="154"/>
        <v>0</v>
      </c>
      <c r="M146" s="71">
        <f t="shared" si="154"/>
        <v>352</v>
      </c>
      <c r="N146" s="71">
        <f t="shared" si="154"/>
        <v>0</v>
      </c>
      <c r="O146" s="71">
        <f t="shared" si="154"/>
        <v>352</v>
      </c>
      <c r="P146" s="71">
        <f t="shared" si="154"/>
        <v>12.399999999999999</v>
      </c>
      <c r="Q146" s="71">
        <f t="shared" si="154"/>
        <v>364.4</v>
      </c>
      <c r="R146" s="71">
        <f t="shared" si="154"/>
        <v>0</v>
      </c>
      <c r="S146" s="208">
        <f t="shared" si="154"/>
        <v>364.4</v>
      </c>
      <c r="T146" s="208">
        <f t="shared" si="154"/>
        <v>0</v>
      </c>
      <c r="U146" s="208">
        <f t="shared" si="154"/>
        <v>364.4</v>
      </c>
      <c r="V146" s="208">
        <f>V147</f>
        <v>0</v>
      </c>
      <c r="W146" s="208">
        <f t="shared" si="155"/>
        <v>364.4</v>
      </c>
      <c r="X146" s="208">
        <f t="shared" si="155"/>
        <v>0</v>
      </c>
      <c r="Y146" s="235">
        <f t="shared" si="155"/>
        <v>364.4</v>
      </c>
      <c r="Z146" s="235">
        <f t="shared" si="155"/>
        <v>0</v>
      </c>
      <c r="AA146" s="235">
        <f t="shared" si="155"/>
        <v>364.4</v>
      </c>
      <c r="AB146" s="235">
        <f t="shared" si="155"/>
        <v>10</v>
      </c>
      <c r="AC146" s="235">
        <f t="shared" si="155"/>
        <v>374.4</v>
      </c>
      <c r="AD146" s="235">
        <f t="shared" si="155"/>
        <v>0</v>
      </c>
      <c r="AE146" s="235">
        <f t="shared" si="155"/>
        <v>374.4</v>
      </c>
    </row>
    <row r="147" spans="1:31" ht="15.75">
      <c r="A147" s="45" t="s">
        <v>29</v>
      </c>
      <c r="B147" s="48" t="s">
        <v>189</v>
      </c>
      <c r="C147" s="27" t="s">
        <v>7</v>
      </c>
      <c r="D147" s="27" t="s">
        <v>1</v>
      </c>
      <c r="E147" s="51" t="s">
        <v>102</v>
      </c>
      <c r="F147" s="27" t="s">
        <v>95</v>
      </c>
      <c r="G147" s="61">
        <v>352</v>
      </c>
      <c r="H147" s="88"/>
      <c r="I147" s="71">
        <f>G147+H147</f>
        <v>352</v>
      </c>
      <c r="J147" s="88"/>
      <c r="K147" s="71">
        <f>I147+J147</f>
        <v>352</v>
      </c>
      <c r="L147" s="71"/>
      <c r="M147" s="71">
        <f>K147+L147</f>
        <v>352</v>
      </c>
      <c r="N147" s="71"/>
      <c r="O147" s="71">
        <f>M147+N147</f>
        <v>352</v>
      </c>
      <c r="P147" s="71">
        <f>8.35+4.05</f>
        <v>12.399999999999999</v>
      </c>
      <c r="Q147" s="71">
        <f>O147+P147</f>
        <v>364.4</v>
      </c>
      <c r="R147" s="71"/>
      <c r="S147" s="208">
        <f>Q147+R147</f>
        <v>364.4</v>
      </c>
      <c r="T147" s="208"/>
      <c r="U147" s="208">
        <f>S147+T147</f>
        <v>364.4</v>
      </c>
      <c r="V147" s="208"/>
      <c r="W147" s="208">
        <f>U147+V147</f>
        <v>364.4</v>
      </c>
      <c r="X147" s="208"/>
      <c r="Y147" s="235">
        <f>W147+X147</f>
        <v>364.4</v>
      </c>
      <c r="Z147" s="235"/>
      <c r="AA147" s="235">
        <f>Y147+Z147</f>
        <v>364.4</v>
      </c>
      <c r="AB147" s="235">
        <v>10</v>
      </c>
      <c r="AC147" s="235">
        <f>AA147+AB147</f>
        <v>374.4</v>
      </c>
      <c r="AD147" s="235"/>
      <c r="AE147" s="235">
        <f>AC147+AD147</f>
        <v>374.4</v>
      </c>
    </row>
    <row r="148" spans="1:31" ht="15.75">
      <c r="A148" s="45" t="s">
        <v>377</v>
      </c>
      <c r="B148" s="48" t="s">
        <v>189</v>
      </c>
      <c r="C148" s="27" t="s">
        <v>7</v>
      </c>
      <c r="D148" s="27" t="s">
        <v>1</v>
      </c>
      <c r="E148" s="51" t="s">
        <v>376</v>
      </c>
      <c r="F148" s="27"/>
      <c r="G148" s="61"/>
      <c r="H148" s="88"/>
      <c r="I148" s="71"/>
      <c r="J148" s="88"/>
      <c r="K148" s="71"/>
      <c r="L148" s="71"/>
      <c r="M148" s="71"/>
      <c r="N148" s="71"/>
      <c r="O148" s="71"/>
      <c r="P148" s="71"/>
      <c r="Q148" s="71"/>
      <c r="R148" s="71"/>
      <c r="S148" s="208"/>
      <c r="T148" s="208"/>
      <c r="U148" s="208"/>
      <c r="V148" s="208"/>
      <c r="W148" s="208"/>
      <c r="X148" s="208"/>
      <c r="Y148" s="235"/>
      <c r="Z148" s="235"/>
      <c r="AA148" s="235">
        <f aca="true" t="shared" si="156" ref="AA148:AE149">AA149</f>
        <v>0</v>
      </c>
      <c r="AB148" s="235">
        <f t="shared" si="156"/>
        <v>12.5</v>
      </c>
      <c r="AC148" s="235">
        <f t="shared" si="156"/>
        <v>12.5</v>
      </c>
      <c r="AD148" s="235">
        <f t="shared" si="156"/>
        <v>0</v>
      </c>
      <c r="AE148" s="235">
        <f t="shared" si="156"/>
        <v>12.5</v>
      </c>
    </row>
    <row r="149" spans="1:31" ht="63.75">
      <c r="A149" s="175" t="s">
        <v>378</v>
      </c>
      <c r="B149" s="48" t="s">
        <v>189</v>
      </c>
      <c r="C149" s="27" t="s">
        <v>7</v>
      </c>
      <c r="D149" s="27" t="s">
        <v>1</v>
      </c>
      <c r="E149" s="51" t="s">
        <v>375</v>
      </c>
      <c r="F149" s="27"/>
      <c r="G149" s="61"/>
      <c r="H149" s="88"/>
      <c r="I149" s="71"/>
      <c r="J149" s="88"/>
      <c r="K149" s="71"/>
      <c r="L149" s="71"/>
      <c r="M149" s="71"/>
      <c r="N149" s="71"/>
      <c r="O149" s="71"/>
      <c r="P149" s="71"/>
      <c r="Q149" s="71"/>
      <c r="R149" s="71"/>
      <c r="S149" s="208"/>
      <c r="T149" s="208"/>
      <c r="U149" s="208"/>
      <c r="V149" s="208"/>
      <c r="W149" s="208"/>
      <c r="X149" s="208"/>
      <c r="Y149" s="235"/>
      <c r="Z149" s="235"/>
      <c r="AA149" s="235">
        <f t="shared" si="156"/>
        <v>0</v>
      </c>
      <c r="AB149" s="235">
        <f t="shared" si="156"/>
        <v>12.5</v>
      </c>
      <c r="AC149" s="235">
        <f t="shared" si="156"/>
        <v>12.5</v>
      </c>
      <c r="AD149" s="235">
        <f t="shared" si="156"/>
        <v>0</v>
      </c>
      <c r="AE149" s="235">
        <f t="shared" si="156"/>
        <v>12.5</v>
      </c>
    </row>
    <row r="150" spans="1:31" ht="15.75">
      <c r="A150" s="45" t="s">
        <v>29</v>
      </c>
      <c r="B150" s="48" t="s">
        <v>189</v>
      </c>
      <c r="C150" s="27" t="s">
        <v>7</v>
      </c>
      <c r="D150" s="27" t="s">
        <v>1</v>
      </c>
      <c r="E150" s="51" t="s">
        <v>375</v>
      </c>
      <c r="F150" s="27" t="s">
        <v>95</v>
      </c>
      <c r="G150" s="61"/>
      <c r="H150" s="88"/>
      <c r="I150" s="71"/>
      <c r="J150" s="88"/>
      <c r="K150" s="71"/>
      <c r="L150" s="71"/>
      <c r="M150" s="71"/>
      <c r="N150" s="71"/>
      <c r="O150" s="71"/>
      <c r="P150" s="71"/>
      <c r="Q150" s="71"/>
      <c r="R150" s="71"/>
      <c r="S150" s="208"/>
      <c r="T150" s="208"/>
      <c r="U150" s="208"/>
      <c r="V150" s="208"/>
      <c r="W150" s="208"/>
      <c r="X150" s="208"/>
      <c r="Y150" s="235"/>
      <c r="Z150" s="235"/>
      <c r="AA150" s="235"/>
      <c r="AB150" s="235">
        <v>12.5</v>
      </c>
      <c r="AC150" s="235">
        <f>AA150+AB150</f>
        <v>12.5</v>
      </c>
      <c r="AD150" s="235"/>
      <c r="AE150" s="235">
        <f>AC150+AD150</f>
        <v>12.5</v>
      </c>
    </row>
    <row r="151" spans="1:31" ht="15.75">
      <c r="A151" s="40" t="s">
        <v>114</v>
      </c>
      <c r="B151" s="246" t="s">
        <v>189</v>
      </c>
      <c r="C151" s="245" t="s">
        <v>115</v>
      </c>
      <c r="D151" s="245"/>
      <c r="E151" s="247"/>
      <c r="F151" s="245"/>
      <c r="G151" s="61"/>
      <c r="H151" s="88"/>
      <c r="I151" s="71"/>
      <c r="J151" s="88"/>
      <c r="K151" s="71"/>
      <c r="L151" s="71"/>
      <c r="M151" s="71"/>
      <c r="N151" s="71"/>
      <c r="O151" s="71"/>
      <c r="P151" s="71"/>
      <c r="Q151" s="71"/>
      <c r="R151" s="71"/>
      <c r="S151" s="208"/>
      <c r="T151" s="208"/>
      <c r="U151" s="208"/>
      <c r="V151" s="208"/>
      <c r="W151" s="208"/>
      <c r="X151" s="208"/>
      <c r="Y151" s="235">
        <f>Y152</f>
        <v>0</v>
      </c>
      <c r="Z151" s="235">
        <f aca="true" t="shared" si="157" ref="Z151:AE154">Z152</f>
        <v>4.75</v>
      </c>
      <c r="AA151" s="235">
        <f t="shared" si="157"/>
        <v>4.75</v>
      </c>
      <c r="AB151" s="235">
        <f t="shared" si="157"/>
        <v>0</v>
      </c>
      <c r="AC151" s="235">
        <f t="shared" si="157"/>
        <v>4.75</v>
      </c>
      <c r="AD151" s="235">
        <f t="shared" si="157"/>
        <v>0</v>
      </c>
      <c r="AE151" s="235">
        <f t="shared" si="157"/>
        <v>4.75</v>
      </c>
    </row>
    <row r="152" spans="1:31" ht="15.75">
      <c r="A152" s="248" t="s">
        <v>116</v>
      </c>
      <c r="B152" s="246" t="s">
        <v>189</v>
      </c>
      <c r="C152" s="249" t="s">
        <v>115</v>
      </c>
      <c r="D152" s="249" t="s">
        <v>1</v>
      </c>
      <c r="E152" s="249"/>
      <c r="F152" s="249"/>
      <c r="G152" s="61"/>
      <c r="H152" s="88"/>
      <c r="I152" s="71"/>
      <c r="J152" s="88"/>
      <c r="K152" s="71"/>
      <c r="L152" s="71"/>
      <c r="M152" s="71"/>
      <c r="N152" s="71"/>
      <c r="O152" s="71"/>
      <c r="P152" s="71"/>
      <c r="Q152" s="71"/>
      <c r="R152" s="71"/>
      <c r="S152" s="208"/>
      <c r="T152" s="208"/>
      <c r="U152" s="208"/>
      <c r="V152" s="208"/>
      <c r="W152" s="208"/>
      <c r="X152" s="208"/>
      <c r="Y152" s="235">
        <f>Y153</f>
        <v>0</v>
      </c>
      <c r="Z152" s="235">
        <f t="shared" si="157"/>
        <v>4.75</v>
      </c>
      <c r="AA152" s="235">
        <f t="shared" si="157"/>
        <v>4.75</v>
      </c>
      <c r="AB152" s="235">
        <f t="shared" si="157"/>
        <v>0</v>
      </c>
      <c r="AC152" s="235">
        <f t="shared" si="157"/>
        <v>4.75</v>
      </c>
      <c r="AD152" s="235">
        <f t="shared" si="157"/>
        <v>0</v>
      </c>
      <c r="AE152" s="235">
        <f t="shared" si="157"/>
        <v>4.75</v>
      </c>
    </row>
    <row r="153" spans="1:31" ht="25.5" customHeight="1">
      <c r="A153" s="52" t="s">
        <v>117</v>
      </c>
      <c r="B153" s="250" t="s">
        <v>189</v>
      </c>
      <c r="C153" s="97" t="s">
        <v>115</v>
      </c>
      <c r="D153" s="97" t="s">
        <v>1</v>
      </c>
      <c r="E153" s="97" t="s">
        <v>118</v>
      </c>
      <c r="F153" s="97"/>
      <c r="G153" s="61"/>
      <c r="H153" s="88"/>
      <c r="I153" s="71"/>
      <c r="J153" s="88"/>
      <c r="K153" s="71"/>
      <c r="L153" s="71"/>
      <c r="M153" s="71"/>
      <c r="N153" s="71"/>
      <c r="O153" s="71"/>
      <c r="P153" s="71"/>
      <c r="Q153" s="71"/>
      <c r="R153" s="71"/>
      <c r="S153" s="208"/>
      <c r="T153" s="208"/>
      <c r="U153" s="208"/>
      <c r="V153" s="208"/>
      <c r="W153" s="208"/>
      <c r="X153" s="208"/>
      <c r="Y153" s="235">
        <f>Y154</f>
        <v>0</v>
      </c>
      <c r="Z153" s="235">
        <f t="shared" si="157"/>
        <v>4.75</v>
      </c>
      <c r="AA153" s="235">
        <f t="shared" si="157"/>
        <v>4.75</v>
      </c>
      <c r="AB153" s="235">
        <f t="shared" si="157"/>
        <v>0</v>
      </c>
      <c r="AC153" s="235">
        <f t="shared" si="157"/>
        <v>4.75</v>
      </c>
      <c r="AD153" s="235">
        <f t="shared" si="157"/>
        <v>0</v>
      </c>
      <c r="AE153" s="235">
        <f t="shared" si="157"/>
        <v>4.75</v>
      </c>
    </row>
    <row r="154" spans="1:31" ht="18" customHeight="1">
      <c r="A154" s="52" t="s">
        <v>119</v>
      </c>
      <c r="B154" s="250" t="s">
        <v>189</v>
      </c>
      <c r="C154" s="97" t="s">
        <v>115</v>
      </c>
      <c r="D154" s="97" t="s">
        <v>1</v>
      </c>
      <c r="E154" s="97" t="s">
        <v>120</v>
      </c>
      <c r="F154" s="97"/>
      <c r="G154" s="61"/>
      <c r="H154" s="88"/>
      <c r="I154" s="71"/>
      <c r="J154" s="88"/>
      <c r="K154" s="71"/>
      <c r="L154" s="71"/>
      <c r="M154" s="71"/>
      <c r="N154" s="71"/>
      <c r="O154" s="71"/>
      <c r="P154" s="71"/>
      <c r="Q154" s="71"/>
      <c r="R154" s="71"/>
      <c r="S154" s="208"/>
      <c r="T154" s="208"/>
      <c r="U154" s="208"/>
      <c r="V154" s="208"/>
      <c r="W154" s="208"/>
      <c r="X154" s="208"/>
      <c r="Y154" s="235">
        <f>Y155</f>
        <v>0</v>
      </c>
      <c r="Z154" s="235">
        <f t="shared" si="157"/>
        <v>4.75</v>
      </c>
      <c r="AA154" s="235">
        <f t="shared" si="157"/>
        <v>4.75</v>
      </c>
      <c r="AB154" s="235">
        <f t="shared" si="157"/>
        <v>0</v>
      </c>
      <c r="AC154" s="235">
        <f t="shared" si="157"/>
        <v>4.75</v>
      </c>
      <c r="AD154" s="235">
        <f t="shared" si="157"/>
        <v>0</v>
      </c>
      <c r="AE154" s="235">
        <f t="shared" si="157"/>
        <v>4.75</v>
      </c>
    </row>
    <row r="155" spans="1:31" ht="27" customHeight="1">
      <c r="A155" s="45" t="s">
        <v>121</v>
      </c>
      <c r="B155" s="250" t="s">
        <v>189</v>
      </c>
      <c r="C155" s="97" t="s">
        <v>115</v>
      </c>
      <c r="D155" s="97" t="s">
        <v>1</v>
      </c>
      <c r="E155" s="97" t="s">
        <v>120</v>
      </c>
      <c r="F155" s="97" t="s">
        <v>122</v>
      </c>
      <c r="G155" s="61"/>
      <c r="H155" s="88"/>
      <c r="I155" s="71"/>
      <c r="J155" s="88"/>
      <c r="K155" s="71"/>
      <c r="L155" s="71"/>
      <c r="M155" s="71"/>
      <c r="N155" s="71"/>
      <c r="O155" s="71"/>
      <c r="P155" s="71"/>
      <c r="Q155" s="71"/>
      <c r="R155" s="71"/>
      <c r="S155" s="208"/>
      <c r="T155" s="208"/>
      <c r="U155" s="208"/>
      <c r="V155" s="208"/>
      <c r="W155" s="208"/>
      <c r="X155" s="208"/>
      <c r="Y155" s="235"/>
      <c r="Z155" s="235">
        <v>4.75</v>
      </c>
      <c r="AA155" s="235">
        <f>Y155+Z155</f>
        <v>4.75</v>
      </c>
      <c r="AB155" s="235"/>
      <c r="AC155" s="235">
        <f>AA155+AB155</f>
        <v>4.75</v>
      </c>
      <c r="AD155" s="235"/>
      <c r="AE155" s="235">
        <f>AC155+AD155</f>
        <v>4.75</v>
      </c>
    </row>
    <row r="156" spans="1:31" s="8" customFormat="1" ht="15.75">
      <c r="A156" s="112" t="s">
        <v>107</v>
      </c>
      <c r="B156" s="47" t="s">
        <v>189</v>
      </c>
      <c r="C156" s="41" t="s">
        <v>109</v>
      </c>
      <c r="D156" s="41"/>
      <c r="E156" s="111"/>
      <c r="F156" s="41"/>
      <c r="G156" s="62">
        <f>G157</f>
        <v>60</v>
      </c>
      <c r="H156" s="62">
        <f aca="true" t="shared" si="158" ref="H156:X159">H157</f>
        <v>0</v>
      </c>
      <c r="I156" s="84">
        <f t="shared" si="158"/>
        <v>60</v>
      </c>
      <c r="J156" s="62">
        <f t="shared" si="158"/>
        <v>0</v>
      </c>
      <c r="K156" s="84">
        <f t="shared" si="158"/>
        <v>60</v>
      </c>
      <c r="L156" s="84">
        <f t="shared" si="158"/>
        <v>0</v>
      </c>
      <c r="M156" s="84">
        <f t="shared" si="158"/>
        <v>60</v>
      </c>
      <c r="N156" s="84">
        <f t="shared" si="158"/>
        <v>0</v>
      </c>
      <c r="O156" s="84">
        <f t="shared" si="158"/>
        <v>60</v>
      </c>
      <c r="P156" s="84">
        <f t="shared" si="158"/>
        <v>150</v>
      </c>
      <c r="Q156" s="84">
        <f t="shared" si="158"/>
        <v>210</v>
      </c>
      <c r="R156" s="84">
        <f>R157</f>
        <v>29.474</v>
      </c>
      <c r="S156" s="210">
        <f t="shared" si="158"/>
        <v>239.474</v>
      </c>
      <c r="T156" s="210">
        <f t="shared" si="158"/>
        <v>0</v>
      </c>
      <c r="U156" s="210">
        <f t="shared" si="158"/>
        <v>239.474</v>
      </c>
      <c r="V156" s="210">
        <f t="shared" si="158"/>
        <v>0</v>
      </c>
      <c r="W156" s="210">
        <f t="shared" si="158"/>
        <v>239.474</v>
      </c>
      <c r="X156" s="210">
        <f t="shared" si="158"/>
        <v>0</v>
      </c>
      <c r="Y156" s="237">
        <f aca="true" t="shared" si="159" ref="X156:AE159">Y157</f>
        <v>239.474</v>
      </c>
      <c r="Z156" s="237">
        <f t="shared" si="159"/>
        <v>7.2</v>
      </c>
      <c r="AA156" s="237">
        <f t="shared" si="159"/>
        <v>246.67399999999998</v>
      </c>
      <c r="AB156" s="237">
        <f t="shared" si="159"/>
        <v>0</v>
      </c>
      <c r="AC156" s="237">
        <f t="shared" si="159"/>
        <v>246.67399999999998</v>
      </c>
      <c r="AD156" s="237">
        <f t="shared" si="159"/>
        <v>0</v>
      </c>
      <c r="AE156" s="237">
        <f t="shared" si="159"/>
        <v>246.67399999999998</v>
      </c>
    </row>
    <row r="157" spans="1:31" s="39" customFormat="1" ht="14.25" customHeight="1">
      <c r="A157" s="109" t="s">
        <v>108</v>
      </c>
      <c r="B157" s="47" t="s">
        <v>189</v>
      </c>
      <c r="C157" s="34" t="s">
        <v>109</v>
      </c>
      <c r="D157" s="34" t="s">
        <v>2</v>
      </c>
      <c r="E157" s="107"/>
      <c r="F157" s="34"/>
      <c r="G157" s="90">
        <f>G158</f>
        <v>60</v>
      </c>
      <c r="H157" s="90">
        <f t="shared" si="158"/>
        <v>0</v>
      </c>
      <c r="I157" s="89">
        <f t="shared" si="158"/>
        <v>60</v>
      </c>
      <c r="J157" s="90">
        <f t="shared" si="158"/>
        <v>0</v>
      </c>
      <c r="K157" s="89">
        <f t="shared" si="158"/>
        <v>60</v>
      </c>
      <c r="L157" s="89">
        <f t="shared" si="158"/>
        <v>0</v>
      </c>
      <c r="M157" s="89">
        <f t="shared" si="158"/>
        <v>60</v>
      </c>
      <c r="N157" s="89">
        <f t="shared" si="158"/>
        <v>0</v>
      </c>
      <c r="O157" s="89">
        <f t="shared" si="158"/>
        <v>60</v>
      </c>
      <c r="P157" s="89">
        <f t="shared" si="158"/>
        <v>150</v>
      </c>
      <c r="Q157" s="89">
        <f t="shared" si="158"/>
        <v>210</v>
      </c>
      <c r="R157" s="89">
        <f aca="true" t="shared" si="160" ref="R157:W157">R158+R161</f>
        <v>29.474</v>
      </c>
      <c r="S157" s="209">
        <f t="shared" si="160"/>
        <v>239.474</v>
      </c>
      <c r="T157" s="209">
        <f t="shared" si="160"/>
        <v>0</v>
      </c>
      <c r="U157" s="209">
        <f t="shared" si="160"/>
        <v>239.474</v>
      </c>
      <c r="V157" s="209">
        <f t="shared" si="160"/>
        <v>0</v>
      </c>
      <c r="W157" s="209">
        <f t="shared" si="160"/>
        <v>239.474</v>
      </c>
      <c r="X157" s="209">
        <f aca="true" t="shared" si="161" ref="X157:AC157">X158+X161</f>
        <v>0</v>
      </c>
      <c r="Y157" s="236">
        <f t="shared" si="161"/>
        <v>239.474</v>
      </c>
      <c r="Z157" s="236">
        <f t="shared" si="161"/>
        <v>7.2</v>
      </c>
      <c r="AA157" s="236">
        <f t="shared" si="161"/>
        <v>246.67399999999998</v>
      </c>
      <c r="AB157" s="236">
        <f t="shared" si="161"/>
        <v>0</v>
      </c>
      <c r="AC157" s="236">
        <f t="shared" si="161"/>
        <v>246.67399999999998</v>
      </c>
      <c r="AD157" s="236">
        <f>AD158+AD161</f>
        <v>0</v>
      </c>
      <c r="AE157" s="236">
        <f>AE158+AE161</f>
        <v>246.67399999999998</v>
      </c>
    </row>
    <row r="158" spans="1:31" ht="25.5">
      <c r="A158" s="113" t="s">
        <v>110</v>
      </c>
      <c r="B158" s="48" t="s">
        <v>189</v>
      </c>
      <c r="C158" s="27" t="s">
        <v>109</v>
      </c>
      <c r="D158" s="27" t="s">
        <v>2</v>
      </c>
      <c r="E158" s="51" t="s">
        <v>112</v>
      </c>
      <c r="F158" s="27"/>
      <c r="G158" s="61">
        <f>G159</f>
        <v>60</v>
      </c>
      <c r="H158" s="61">
        <f t="shared" si="158"/>
        <v>0</v>
      </c>
      <c r="I158" s="71">
        <f t="shared" si="158"/>
        <v>60</v>
      </c>
      <c r="J158" s="61">
        <f t="shared" si="158"/>
        <v>0</v>
      </c>
      <c r="K158" s="71">
        <f t="shared" si="158"/>
        <v>60</v>
      </c>
      <c r="L158" s="71">
        <f t="shared" si="158"/>
        <v>0</v>
      </c>
      <c r="M158" s="71">
        <f t="shared" si="158"/>
        <v>60</v>
      </c>
      <c r="N158" s="71">
        <f t="shared" si="158"/>
        <v>0</v>
      </c>
      <c r="O158" s="71">
        <f t="shared" si="158"/>
        <v>60</v>
      </c>
      <c r="P158" s="71">
        <f t="shared" si="158"/>
        <v>150</v>
      </c>
      <c r="Q158" s="71">
        <f t="shared" si="158"/>
        <v>210</v>
      </c>
      <c r="R158" s="71">
        <f t="shared" si="158"/>
        <v>1.474</v>
      </c>
      <c r="S158" s="208">
        <f t="shared" si="158"/>
        <v>211.474</v>
      </c>
      <c r="T158" s="208">
        <f t="shared" si="158"/>
        <v>0</v>
      </c>
      <c r="U158" s="208">
        <f t="shared" si="158"/>
        <v>211.474</v>
      </c>
      <c r="V158" s="208">
        <f t="shared" si="158"/>
        <v>0</v>
      </c>
      <c r="W158" s="208">
        <f t="shared" si="158"/>
        <v>211.474</v>
      </c>
      <c r="X158" s="208">
        <f t="shared" si="159"/>
        <v>0</v>
      </c>
      <c r="Y158" s="235">
        <f t="shared" si="159"/>
        <v>211.474</v>
      </c>
      <c r="Z158" s="235">
        <f t="shared" si="159"/>
        <v>7.2</v>
      </c>
      <c r="AA158" s="235">
        <f t="shared" si="159"/>
        <v>218.67399999999998</v>
      </c>
      <c r="AB158" s="235">
        <f t="shared" si="159"/>
        <v>0</v>
      </c>
      <c r="AC158" s="235">
        <f t="shared" si="159"/>
        <v>218.67399999999998</v>
      </c>
      <c r="AD158" s="235">
        <f t="shared" si="159"/>
        <v>0</v>
      </c>
      <c r="AE158" s="235">
        <f t="shared" si="159"/>
        <v>218.67399999999998</v>
      </c>
    </row>
    <row r="159" spans="1:31" ht="25.5">
      <c r="A159" s="113" t="s">
        <v>111</v>
      </c>
      <c r="B159" s="48" t="s">
        <v>189</v>
      </c>
      <c r="C159" s="27" t="s">
        <v>109</v>
      </c>
      <c r="D159" s="27" t="s">
        <v>2</v>
      </c>
      <c r="E159" s="51" t="s">
        <v>113</v>
      </c>
      <c r="F159" s="27"/>
      <c r="G159" s="61">
        <f>G160</f>
        <v>60</v>
      </c>
      <c r="H159" s="61">
        <f t="shared" si="158"/>
        <v>0</v>
      </c>
      <c r="I159" s="71">
        <f t="shared" si="158"/>
        <v>60</v>
      </c>
      <c r="J159" s="61">
        <f t="shared" si="158"/>
        <v>0</v>
      </c>
      <c r="K159" s="71">
        <f t="shared" si="158"/>
        <v>60</v>
      </c>
      <c r="L159" s="71">
        <f t="shared" si="158"/>
        <v>0</v>
      </c>
      <c r="M159" s="71">
        <f t="shared" si="158"/>
        <v>60</v>
      </c>
      <c r="N159" s="71">
        <f t="shared" si="158"/>
        <v>0</v>
      </c>
      <c r="O159" s="71">
        <f t="shared" si="158"/>
        <v>60</v>
      </c>
      <c r="P159" s="71">
        <f t="shared" si="158"/>
        <v>150</v>
      </c>
      <c r="Q159" s="71">
        <f t="shared" si="158"/>
        <v>210</v>
      </c>
      <c r="R159" s="71">
        <f t="shared" si="158"/>
        <v>1.474</v>
      </c>
      <c r="S159" s="208">
        <f t="shared" si="158"/>
        <v>211.474</v>
      </c>
      <c r="T159" s="208">
        <f t="shared" si="158"/>
        <v>0</v>
      </c>
      <c r="U159" s="208">
        <f t="shared" si="158"/>
        <v>211.474</v>
      </c>
      <c r="V159" s="208">
        <f t="shared" si="158"/>
        <v>0</v>
      </c>
      <c r="W159" s="208">
        <f t="shared" si="158"/>
        <v>211.474</v>
      </c>
      <c r="X159" s="208">
        <f t="shared" si="159"/>
        <v>0</v>
      </c>
      <c r="Y159" s="235">
        <f t="shared" si="159"/>
        <v>211.474</v>
      </c>
      <c r="Z159" s="235">
        <f t="shared" si="159"/>
        <v>7.2</v>
      </c>
      <c r="AA159" s="235">
        <f t="shared" si="159"/>
        <v>218.67399999999998</v>
      </c>
      <c r="AB159" s="235">
        <f t="shared" si="159"/>
        <v>0</v>
      </c>
      <c r="AC159" s="235">
        <f t="shared" si="159"/>
        <v>218.67399999999998</v>
      </c>
      <c r="AD159" s="235">
        <f t="shared" si="159"/>
        <v>0</v>
      </c>
      <c r="AE159" s="235">
        <f t="shared" si="159"/>
        <v>218.67399999999998</v>
      </c>
    </row>
    <row r="160" spans="1:31" ht="28.5" customHeight="1">
      <c r="A160" s="26" t="s">
        <v>183</v>
      </c>
      <c r="B160" s="48" t="s">
        <v>189</v>
      </c>
      <c r="C160" s="27" t="s">
        <v>109</v>
      </c>
      <c r="D160" s="27" t="s">
        <v>2</v>
      </c>
      <c r="E160" s="51" t="s">
        <v>113</v>
      </c>
      <c r="F160" s="27" t="s">
        <v>42</v>
      </c>
      <c r="G160" s="61">
        <v>60</v>
      </c>
      <c r="H160" s="88"/>
      <c r="I160" s="71">
        <f>G160+H160</f>
        <v>60</v>
      </c>
      <c r="J160" s="88"/>
      <c r="K160" s="71">
        <f>I160+J160</f>
        <v>60</v>
      </c>
      <c r="L160" s="71"/>
      <c r="M160" s="71">
        <f>K160+L160</f>
        <v>60</v>
      </c>
      <c r="N160" s="71"/>
      <c r="O160" s="71">
        <f>M160+N160</f>
        <v>60</v>
      </c>
      <c r="P160" s="71">
        <f>90+60</f>
        <v>150</v>
      </c>
      <c r="Q160" s="71">
        <f>O160+P160</f>
        <v>210</v>
      </c>
      <c r="R160" s="71">
        <v>1.474</v>
      </c>
      <c r="S160" s="208">
        <f>Q160+R160</f>
        <v>211.474</v>
      </c>
      <c r="T160" s="208"/>
      <c r="U160" s="208">
        <f>S160+T160</f>
        <v>211.474</v>
      </c>
      <c r="V160" s="208"/>
      <c r="W160" s="208">
        <f>U160+V160</f>
        <v>211.474</v>
      </c>
      <c r="X160" s="208"/>
      <c r="Y160" s="235">
        <f>W160+X160</f>
        <v>211.474</v>
      </c>
      <c r="Z160" s="235">
        <v>7.2</v>
      </c>
      <c r="AA160" s="235">
        <f>Y160+Z160</f>
        <v>218.67399999999998</v>
      </c>
      <c r="AB160" s="235"/>
      <c r="AC160" s="235">
        <f>AA160+AB160</f>
        <v>218.67399999999998</v>
      </c>
      <c r="AD160" s="235"/>
      <c r="AE160" s="235">
        <f>AC160+AD160</f>
        <v>218.67399999999998</v>
      </c>
    </row>
    <row r="161" spans="1:31" s="5" customFormat="1" ht="39" customHeight="1">
      <c r="A161" s="204" t="s">
        <v>334</v>
      </c>
      <c r="B161" s="48" t="s">
        <v>189</v>
      </c>
      <c r="C161" s="27" t="s">
        <v>109</v>
      </c>
      <c r="D161" s="27" t="s">
        <v>2</v>
      </c>
      <c r="E161" s="51" t="s">
        <v>333</v>
      </c>
      <c r="F161" s="27"/>
      <c r="G161" s="61"/>
      <c r="H161" s="88"/>
      <c r="I161" s="71"/>
      <c r="J161" s="88"/>
      <c r="K161" s="71"/>
      <c r="L161" s="71"/>
      <c r="M161" s="71"/>
      <c r="N161" s="71"/>
      <c r="O161" s="71"/>
      <c r="P161" s="71"/>
      <c r="Q161" s="71">
        <f aca="true" t="shared" si="162" ref="Q161:AE161">Q162</f>
        <v>0</v>
      </c>
      <c r="R161" s="71">
        <f t="shared" si="162"/>
        <v>28</v>
      </c>
      <c r="S161" s="208">
        <f t="shared" si="162"/>
        <v>28</v>
      </c>
      <c r="T161" s="208">
        <f t="shared" si="162"/>
        <v>0</v>
      </c>
      <c r="U161" s="208">
        <f t="shared" si="162"/>
        <v>28</v>
      </c>
      <c r="V161" s="208">
        <f t="shared" si="162"/>
        <v>0</v>
      </c>
      <c r="W161" s="208">
        <f t="shared" si="162"/>
        <v>28</v>
      </c>
      <c r="X161" s="208">
        <f t="shared" si="162"/>
        <v>0</v>
      </c>
      <c r="Y161" s="235">
        <f t="shared" si="162"/>
        <v>28</v>
      </c>
      <c r="Z161" s="235">
        <f t="shared" si="162"/>
        <v>0</v>
      </c>
      <c r="AA161" s="235">
        <f t="shared" si="162"/>
        <v>28</v>
      </c>
      <c r="AB161" s="235">
        <f t="shared" si="162"/>
        <v>0</v>
      </c>
      <c r="AC161" s="235">
        <f t="shared" si="162"/>
        <v>28</v>
      </c>
      <c r="AD161" s="235">
        <f t="shared" si="162"/>
        <v>0</v>
      </c>
      <c r="AE161" s="235">
        <f t="shared" si="162"/>
        <v>28</v>
      </c>
    </row>
    <row r="162" spans="1:31" s="5" customFormat="1" ht="25.5" customHeight="1">
      <c r="A162" s="26" t="s">
        <v>183</v>
      </c>
      <c r="B162" s="48" t="s">
        <v>189</v>
      </c>
      <c r="C162" s="27" t="s">
        <v>109</v>
      </c>
      <c r="D162" s="27" t="s">
        <v>2</v>
      </c>
      <c r="E162" s="51" t="s">
        <v>333</v>
      </c>
      <c r="F162" s="27" t="s">
        <v>42</v>
      </c>
      <c r="G162" s="61"/>
      <c r="H162" s="88"/>
      <c r="I162" s="71"/>
      <c r="J162" s="88"/>
      <c r="K162" s="71"/>
      <c r="L162" s="71"/>
      <c r="M162" s="71"/>
      <c r="N162" s="71"/>
      <c r="O162" s="71"/>
      <c r="P162" s="71"/>
      <c r="Q162" s="71"/>
      <c r="R162" s="203">
        <f>12.57674+15.42326</f>
        <v>28</v>
      </c>
      <c r="S162" s="208">
        <f>Q162+R162</f>
        <v>28</v>
      </c>
      <c r="T162" s="208"/>
      <c r="U162" s="208">
        <f>S162+T162</f>
        <v>28</v>
      </c>
      <c r="V162" s="208"/>
      <c r="W162" s="208">
        <f>U162+V162</f>
        <v>28</v>
      </c>
      <c r="X162" s="208"/>
      <c r="Y162" s="235">
        <f>W162+X162</f>
        <v>28</v>
      </c>
      <c r="Z162" s="235"/>
      <c r="AA162" s="235">
        <f>Y162+Z162</f>
        <v>28</v>
      </c>
      <c r="AB162" s="235"/>
      <c r="AC162" s="235">
        <f>AA162+AB162</f>
        <v>28</v>
      </c>
      <c r="AD162" s="235"/>
      <c r="AE162" s="235">
        <f>AC162+AD162</f>
        <v>28</v>
      </c>
    </row>
    <row r="163" spans="1:31" s="8" customFormat="1" ht="15" customHeight="1" hidden="1">
      <c r="A163" s="40" t="s">
        <v>114</v>
      </c>
      <c r="B163" s="48" t="s">
        <v>189</v>
      </c>
      <c r="C163" s="41" t="s">
        <v>115</v>
      </c>
      <c r="D163" s="41"/>
      <c r="E163" s="42"/>
      <c r="F163" s="41"/>
      <c r="G163" s="58">
        <f>G164</f>
        <v>0</v>
      </c>
      <c r="H163" s="92"/>
      <c r="I163" s="84"/>
      <c r="J163" s="92"/>
      <c r="K163" s="84"/>
      <c r="L163" s="84"/>
      <c r="M163" s="84"/>
      <c r="N163" s="84"/>
      <c r="O163" s="84"/>
      <c r="P163" s="84"/>
      <c r="Q163" s="84"/>
      <c r="R163" s="84"/>
      <c r="S163" s="210"/>
      <c r="T163" s="210"/>
      <c r="U163" s="210"/>
      <c r="V163" s="210"/>
      <c r="W163" s="210"/>
      <c r="X163" s="210"/>
      <c r="Y163" s="237"/>
      <c r="Z163" s="237"/>
      <c r="AA163" s="237"/>
      <c r="AB163" s="237"/>
      <c r="AC163" s="237"/>
      <c r="AD163" s="237"/>
      <c r="AE163" s="237"/>
    </row>
    <row r="164" spans="1:31" s="6" customFormat="1" ht="15" customHeight="1" hidden="1">
      <c r="A164" s="55" t="s">
        <v>116</v>
      </c>
      <c r="B164" s="48" t="s">
        <v>189</v>
      </c>
      <c r="C164" s="44" t="s">
        <v>115</v>
      </c>
      <c r="D164" s="44" t="s">
        <v>1</v>
      </c>
      <c r="E164" s="44"/>
      <c r="F164" s="44"/>
      <c r="G164" s="63">
        <f>G165</f>
        <v>0</v>
      </c>
      <c r="H164" s="91"/>
      <c r="I164" s="93"/>
      <c r="J164" s="91"/>
      <c r="K164" s="93"/>
      <c r="L164" s="93"/>
      <c r="M164" s="93"/>
      <c r="N164" s="93"/>
      <c r="O164" s="93"/>
      <c r="P164" s="93"/>
      <c r="Q164" s="93"/>
      <c r="R164" s="93"/>
      <c r="S164" s="214"/>
      <c r="T164" s="214"/>
      <c r="U164" s="214"/>
      <c r="V164" s="214"/>
      <c r="W164" s="214"/>
      <c r="X164" s="214"/>
      <c r="Y164" s="242"/>
      <c r="Z164" s="242"/>
      <c r="AA164" s="242"/>
      <c r="AB164" s="242"/>
      <c r="AC164" s="242"/>
      <c r="AD164" s="242"/>
      <c r="AE164" s="242"/>
    </row>
    <row r="165" spans="1:31" ht="30" customHeight="1" hidden="1">
      <c r="A165" s="52" t="s">
        <v>117</v>
      </c>
      <c r="B165" s="48" t="s">
        <v>189</v>
      </c>
      <c r="C165" s="27" t="s">
        <v>115</v>
      </c>
      <c r="D165" s="27" t="s">
        <v>1</v>
      </c>
      <c r="E165" s="27" t="s">
        <v>118</v>
      </c>
      <c r="F165" s="27"/>
      <c r="G165" s="61">
        <f>G166</f>
        <v>0</v>
      </c>
      <c r="H165" s="88"/>
      <c r="I165" s="71"/>
      <c r="J165" s="88"/>
      <c r="K165" s="71"/>
      <c r="L165" s="71"/>
      <c r="M165" s="71"/>
      <c r="N165" s="71"/>
      <c r="O165" s="71"/>
      <c r="P165" s="71"/>
      <c r="Q165" s="71"/>
      <c r="R165" s="71"/>
      <c r="S165" s="208"/>
      <c r="T165" s="208"/>
      <c r="U165" s="208"/>
      <c r="V165" s="208"/>
      <c r="W165" s="208"/>
      <c r="X165" s="208"/>
      <c r="Y165" s="235"/>
      <c r="Z165" s="235"/>
      <c r="AA165" s="235"/>
      <c r="AB165" s="235"/>
      <c r="AC165" s="235"/>
      <c r="AD165" s="235"/>
      <c r="AE165" s="235"/>
    </row>
    <row r="166" spans="1:31" ht="16.5" customHeight="1" hidden="1">
      <c r="A166" s="52" t="s">
        <v>119</v>
      </c>
      <c r="B166" s="48" t="s">
        <v>189</v>
      </c>
      <c r="C166" s="27" t="s">
        <v>115</v>
      </c>
      <c r="D166" s="27" t="s">
        <v>1</v>
      </c>
      <c r="E166" s="27" t="s">
        <v>120</v>
      </c>
      <c r="F166" s="27"/>
      <c r="G166" s="61">
        <f>G167+G168</f>
        <v>0</v>
      </c>
      <c r="H166" s="88"/>
      <c r="I166" s="71"/>
      <c r="J166" s="88"/>
      <c r="K166" s="71"/>
      <c r="L166" s="71"/>
      <c r="M166" s="71"/>
      <c r="N166" s="71"/>
      <c r="O166" s="71"/>
      <c r="P166" s="71"/>
      <c r="Q166" s="71"/>
      <c r="R166" s="71"/>
      <c r="S166" s="208"/>
      <c r="T166" s="208"/>
      <c r="U166" s="208"/>
      <c r="V166" s="208"/>
      <c r="W166" s="208"/>
      <c r="X166" s="208"/>
      <c r="Y166" s="235"/>
      <c r="Z166" s="235"/>
      <c r="AA166" s="235"/>
      <c r="AB166" s="235"/>
      <c r="AC166" s="235"/>
      <c r="AD166" s="235"/>
      <c r="AE166" s="235"/>
    </row>
    <row r="167" spans="1:31" ht="33.75" customHeight="1" hidden="1">
      <c r="A167" s="45" t="s">
        <v>41</v>
      </c>
      <c r="B167" s="48" t="s">
        <v>189</v>
      </c>
      <c r="C167" s="27" t="s">
        <v>115</v>
      </c>
      <c r="D167" s="27" t="s">
        <v>1</v>
      </c>
      <c r="E167" s="27" t="s">
        <v>120</v>
      </c>
      <c r="F167" s="27" t="s">
        <v>42</v>
      </c>
      <c r="G167" s="61">
        <v>0</v>
      </c>
      <c r="H167" s="88"/>
      <c r="I167" s="71"/>
      <c r="J167" s="88"/>
      <c r="K167" s="71"/>
      <c r="L167" s="71"/>
      <c r="M167" s="71"/>
      <c r="N167" s="71"/>
      <c r="O167" s="71"/>
      <c r="P167" s="71"/>
      <c r="Q167" s="71"/>
      <c r="R167" s="71"/>
      <c r="S167" s="208"/>
      <c r="T167" s="208"/>
      <c r="U167" s="208"/>
      <c r="V167" s="208"/>
      <c r="W167" s="208"/>
      <c r="X167" s="208"/>
      <c r="Y167" s="235"/>
      <c r="Z167" s="235"/>
      <c r="AA167" s="235"/>
      <c r="AB167" s="235"/>
      <c r="AC167" s="235"/>
      <c r="AD167" s="235"/>
      <c r="AE167" s="235"/>
    </row>
    <row r="168" spans="1:31" ht="31.5" customHeight="1" hidden="1">
      <c r="A168" s="45" t="s">
        <v>121</v>
      </c>
      <c r="B168" s="48" t="s">
        <v>189</v>
      </c>
      <c r="C168" s="27" t="s">
        <v>115</v>
      </c>
      <c r="D168" s="27" t="s">
        <v>1</v>
      </c>
      <c r="E168" s="27" t="s">
        <v>120</v>
      </c>
      <c r="F168" s="27" t="s">
        <v>122</v>
      </c>
      <c r="G168" s="60">
        <v>0</v>
      </c>
      <c r="H168" s="88"/>
      <c r="I168" s="71"/>
      <c r="J168" s="88"/>
      <c r="K168" s="71"/>
      <c r="L168" s="71"/>
      <c r="M168" s="71"/>
      <c r="N168" s="71"/>
      <c r="O168" s="71"/>
      <c r="P168" s="71"/>
      <c r="Q168" s="71"/>
      <c r="R168" s="71"/>
      <c r="S168" s="208"/>
      <c r="T168" s="208"/>
      <c r="U168" s="208"/>
      <c r="V168" s="208"/>
      <c r="W168" s="208"/>
      <c r="X168" s="208"/>
      <c r="Y168" s="235"/>
      <c r="Z168" s="235"/>
      <c r="AA168" s="235"/>
      <c r="AB168" s="235"/>
      <c r="AC168" s="235"/>
      <c r="AD168" s="235"/>
      <c r="AE168" s="235"/>
    </row>
    <row r="169" spans="1:31" s="8" customFormat="1" ht="26.25" customHeight="1" hidden="1">
      <c r="A169" s="46" t="s">
        <v>123</v>
      </c>
      <c r="B169" s="48" t="s">
        <v>189</v>
      </c>
      <c r="C169" s="41" t="s">
        <v>20</v>
      </c>
      <c r="D169" s="41"/>
      <c r="E169" s="41"/>
      <c r="F169" s="41"/>
      <c r="G169" s="58">
        <f>G170</f>
        <v>0</v>
      </c>
      <c r="H169" s="92"/>
      <c r="I169" s="84"/>
      <c r="J169" s="92"/>
      <c r="K169" s="84"/>
      <c r="L169" s="84"/>
      <c r="M169" s="84"/>
      <c r="N169" s="84"/>
      <c r="O169" s="84"/>
      <c r="P169" s="84"/>
      <c r="Q169" s="84"/>
      <c r="R169" s="84"/>
      <c r="S169" s="210"/>
      <c r="T169" s="210"/>
      <c r="U169" s="210"/>
      <c r="V169" s="210"/>
      <c r="W169" s="210"/>
      <c r="X169" s="210"/>
      <c r="Y169" s="237"/>
      <c r="Z169" s="237"/>
      <c r="AA169" s="237"/>
      <c r="AB169" s="237"/>
      <c r="AC169" s="237"/>
      <c r="AD169" s="237"/>
      <c r="AE169" s="237"/>
    </row>
    <row r="170" spans="1:31" s="6" customFormat="1" ht="26.25" customHeight="1" hidden="1">
      <c r="A170" s="56" t="s">
        <v>124</v>
      </c>
      <c r="B170" s="48" t="s">
        <v>189</v>
      </c>
      <c r="C170" s="44" t="s">
        <v>20</v>
      </c>
      <c r="D170" s="44" t="s">
        <v>1</v>
      </c>
      <c r="E170" s="44"/>
      <c r="F170" s="44"/>
      <c r="G170" s="64">
        <f>G171</f>
        <v>0</v>
      </c>
      <c r="H170" s="91"/>
      <c r="I170" s="93"/>
      <c r="J170" s="91"/>
      <c r="K170" s="93"/>
      <c r="L170" s="93"/>
      <c r="M170" s="93"/>
      <c r="N170" s="93"/>
      <c r="O170" s="93"/>
      <c r="P170" s="93"/>
      <c r="Q170" s="93"/>
      <c r="R170" s="93"/>
      <c r="S170" s="214"/>
      <c r="T170" s="214"/>
      <c r="U170" s="214"/>
      <c r="V170" s="214"/>
      <c r="W170" s="214"/>
      <c r="X170" s="214"/>
      <c r="Y170" s="242"/>
      <c r="Z170" s="242"/>
      <c r="AA170" s="242"/>
      <c r="AB170" s="242"/>
      <c r="AC170" s="242"/>
      <c r="AD170" s="242"/>
      <c r="AE170" s="242"/>
    </row>
    <row r="171" spans="1:31" ht="15.75" customHeight="1" hidden="1">
      <c r="A171" s="45" t="s">
        <v>125</v>
      </c>
      <c r="B171" s="48" t="s">
        <v>189</v>
      </c>
      <c r="C171" s="27" t="s">
        <v>20</v>
      </c>
      <c r="D171" s="27" t="s">
        <v>1</v>
      </c>
      <c r="E171" s="27" t="s">
        <v>128</v>
      </c>
      <c r="F171" s="27"/>
      <c r="G171" s="60">
        <f>G172</f>
        <v>0</v>
      </c>
      <c r="H171" s="88"/>
      <c r="I171" s="71"/>
      <c r="J171" s="88"/>
      <c r="K171" s="71"/>
      <c r="L171" s="71"/>
      <c r="M171" s="71"/>
      <c r="N171" s="71"/>
      <c r="O171" s="71"/>
      <c r="P171" s="71"/>
      <c r="Q171" s="71"/>
      <c r="R171" s="71"/>
      <c r="S171" s="208"/>
      <c r="T171" s="208"/>
      <c r="U171" s="208"/>
      <c r="V171" s="208"/>
      <c r="W171" s="208"/>
      <c r="X171" s="208"/>
      <c r="Y171" s="235"/>
      <c r="Z171" s="235"/>
      <c r="AA171" s="235"/>
      <c r="AB171" s="235"/>
      <c r="AC171" s="235"/>
      <c r="AD171" s="235"/>
      <c r="AE171" s="235"/>
    </row>
    <row r="172" spans="1:31" ht="15" customHeight="1" hidden="1">
      <c r="A172" s="45" t="s">
        <v>126</v>
      </c>
      <c r="B172" s="48" t="s">
        <v>189</v>
      </c>
      <c r="C172" s="27" t="s">
        <v>20</v>
      </c>
      <c r="D172" s="27" t="s">
        <v>1</v>
      </c>
      <c r="E172" s="27" t="s">
        <v>129</v>
      </c>
      <c r="F172" s="27"/>
      <c r="G172" s="60">
        <f>G173</f>
        <v>0</v>
      </c>
      <c r="H172" s="88"/>
      <c r="I172" s="71"/>
      <c r="J172" s="88"/>
      <c r="K172" s="71"/>
      <c r="L172" s="71"/>
      <c r="M172" s="71"/>
      <c r="N172" s="71"/>
      <c r="O172" s="71"/>
      <c r="P172" s="71"/>
      <c r="Q172" s="71"/>
      <c r="R172" s="71"/>
      <c r="S172" s="208"/>
      <c r="T172" s="208"/>
      <c r="U172" s="208"/>
      <c r="V172" s="208"/>
      <c r="W172" s="208"/>
      <c r="X172" s="208"/>
      <c r="Y172" s="235"/>
      <c r="Z172" s="235"/>
      <c r="AA172" s="235"/>
      <c r="AB172" s="235"/>
      <c r="AC172" s="235"/>
      <c r="AD172" s="235"/>
      <c r="AE172" s="235"/>
    </row>
    <row r="173" spans="1:31" ht="15" customHeight="1" hidden="1">
      <c r="A173" s="45" t="s">
        <v>127</v>
      </c>
      <c r="B173" s="48" t="s">
        <v>189</v>
      </c>
      <c r="C173" s="27" t="s">
        <v>20</v>
      </c>
      <c r="D173" s="27" t="s">
        <v>1</v>
      </c>
      <c r="E173" s="27" t="s">
        <v>129</v>
      </c>
      <c r="F173" s="27" t="s">
        <v>130</v>
      </c>
      <c r="G173" s="60">
        <v>0</v>
      </c>
      <c r="H173" s="88"/>
      <c r="I173" s="71"/>
      <c r="J173" s="88"/>
      <c r="K173" s="71"/>
      <c r="L173" s="71"/>
      <c r="M173" s="71"/>
      <c r="N173" s="71"/>
      <c r="O173" s="71"/>
      <c r="P173" s="71"/>
      <c r="Q173" s="71"/>
      <c r="R173" s="71"/>
      <c r="S173" s="208"/>
      <c r="T173" s="208"/>
      <c r="U173" s="208"/>
      <c r="V173" s="208"/>
      <c r="W173" s="208"/>
      <c r="X173" s="208"/>
      <c r="Y173" s="235"/>
      <c r="Z173" s="235"/>
      <c r="AA173" s="235"/>
      <c r="AB173" s="235"/>
      <c r="AC173" s="235"/>
      <c r="AD173" s="235"/>
      <c r="AE173" s="235"/>
    </row>
    <row r="174" spans="1:31" s="8" customFormat="1" ht="39" customHeight="1">
      <c r="A174" s="46" t="s">
        <v>137</v>
      </c>
      <c r="B174" s="47" t="s">
        <v>189</v>
      </c>
      <c r="C174" s="41" t="s">
        <v>144</v>
      </c>
      <c r="D174" s="41"/>
      <c r="E174" s="41"/>
      <c r="F174" s="41"/>
      <c r="G174" s="58">
        <f aca="true" t="shared" si="163" ref="G174:V175">G175</f>
        <v>298.231</v>
      </c>
      <c r="H174" s="58">
        <f t="shared" si="163"/>
        <v>0</v>
      </c>
      <c r="I174" s="81">
        <f t="shared" si="163"/>
        <v>298.231</v>
      </c>
      <c r="J174" s="58">
        <f t="shared" si="163"/>
        <v>0</v>
      </c>
      <c r="K174" s="81">
        <f t="shared" si="163"/>
        <v>298.231</v>
      </c>
      <c r="L174" s="81">
        <f t="shared" si="163"/>
        <v>0</v>
      </c>
      <c r="M174" s="81">
        <f t="shared" si="163"/>
        <v>298.231</v>
      </c>
      <c r="N174" s="81">
        <f t="shared" si="163"/>
        <v>0</v>
      </c>
      <c r="O174" s="81">
        <f t="shared" si="163"/>
        <v>298.231</v>
      </c>
      <c r="P174" s="81">
        <f t="shared" si="163"/>
        <v>0</v>
      </c>
      <c r="Q174" s="81">
        <f t="shared" si="163"/>
        <v>298.231</v>
      </c>
      <c r="R174" s="81">
        <f t="shared" si="163"/>
        <v>0</v>
      </c>
      <c r="S174" s="205">
        <f t="shared" si="163"/>
        <v>298.231</v>
      </c>
      <c r="T174" s="205">
        <f t="shared" si="163"/>
        <v>0</v>
      </c>
      <c r="U174" s="205">
        <f t="shared" si="163"/>
        <v>298.231</v>
      </c>
      <c r="V174" s="205">
        <f t="shared" si="163"/>
        <v>0</v>
      </c>
      <c r="W174" s="205">
        <f aca="true" t="shared" si="164" ref="W174:AE175">W175</f>
        <v>298.231</v>
      </c>
      <c r="X174" s="205">
        <f t="shared" si="164"/>
        <v>0</v>
      </c>
      <c r="Y174" s="232">
        <f t="shared" si="164"/>
        <v>298.231</v>
      </c>
      <c r="Z174" s="232">
        <f t="shared" si="164"/>
        <v>0</v>
      </c>
      <c r="AA174" s="232">
        <f t="shared" si="164"/>
        <v>298.231</v>
      </c>
      <c r="AB174" s="232">
        <f t="shared" si="164"/>
        <v>0</v>
      </c>
      <c r="AC174" s="232">
        <f t="shared" si="164"/>
        <v>298.231</v>
      </c>
      <c r="AD174" s="232">
        <f t="shared" si="164"/>
        <v>0</v>
      </c>
      <c r="AE174" s="232">
        <f t="shared" si="164"/>
        <v>298.231</v>
      </c>
    </row>
    <row r="175" spans="1:31" s="39" customFormat="1" ht="15" customHeight="1">
      <c r="A175" s="32" t="s">
        <v>138</v>
      </c>
      <c r="B175" s="47" t="s">
        <v>189</v>
      </c>
      <c r="C175" s="34" t="s">
        <v>144</v>
      </c>
      <c r="D175" s="34" t="s">
        <v>4</v>
      </c>
      <c r="E175" s="107"/>
      <c r="F175" s="34"/>
      <c r="G175" s="94">
        <f t="shared" si="163"/>
        <v>298.231</v>
      </c>
      <c r="H175" s="94">
        <f t="shared" si="163"/>
        <v>0</v>
      </c>
      <c r="I175" s="89">
        <f t="shared" si="163"/>
        <v>298.231</v>
      </c>
      <c r="J175" s="94">
        <f t="shared" si="163"/>
        <v>0</v>
      </c>
      <c r="K175" s="89">
        <f t="shared" si="163"/>
        <v>298.231</v>
      </c>
      <c r="L175" s="89">
        <f t="shared" si="163"/>
        <v>0</v>
      </c>
      <c r="M175" s="89">
        <f t="shared" si="163"/>
        <v>298.231</v>
      </c>
      <c r="N175" s="89">
        <f t="shared" si="163"/>
        <v>0</v>
      </c>
      <c r="O175" s="89">
        <f t="shared" si="163"/>
        <v>298.231</v>
      </c>
      <c r="P175" s="89">
        <f t="shared" si="163"/>
        <v>0</v>
      </c>
      <c r="Q175" s="89">
        <f t="shared" si="163"/>
        <v>298.231</v>
      </c>
      <c r="R175" s="89">
        <f t="shared" si="163"/>
        <v>0</v>
      </c>
      <c r="S175" s="209">
        <f t="shared" si="163"/>
        <v>298.231</v>
      </c>
      <c r="T175" s="209">
        <f t="shared" si="163"/>
        <v>0</v>
      </c>
      <c r="U175" s="209">
        <f t="shared" si="163"/>
        <v>298.231</v>
      </c>
      <c r="V175" s="209">
        <f>V176</f>
        <v>0</v>
      </c>
      <c r="W175" s="209">
        <f t="shared" si="164"/>
        <v>298.231</v>
      </c>
      <c r="X175" s="209">
        <f t="shared" si="164"/>
        <v>0</v>
      </c>
      <c r="Y175" s="236">
        <f t="shared" si="164"/>
        <v>298.231</v>
      </c>
      <c r="Z175" s="236">
        <f t="shared" si="164"/>
        <v>0</v>
      </c>
      <c r="AA175" s="236">
        <f t="shared" si="164"/>
        <v>298.231</v>
      </c>
      <c r="AB175" s="236">
        <f t="shared" si="164"/>
        <v>0</v>
      </c>
      <c r="AC175" s="236">
        <f t="shared" si="164"/>
        <v>298.231</v>
      </c>
      <c r="AD175" s="236">
        <f t="shared" si="164"/>
        <v>0</v>
      </c>
      <c r="AE175" s="236">
        <f t="shared" si="164"/>
        <v>298.231</v>
      </c>
    </row>
    <row r="176" spans="1:31" ht="81" customHeight="1">
      <c r="A176" s="29" t="s">
        <v>139</v>
      </c>
      <c r="B176" s="48" t="s">
        <v>189</v>
      </c>
      <c r="C176" s="27" t="s">
        <v>144</v>
      </c>
      <c r="D176" s="27" t="s">
        <v>4</v>
      </c>
      <c r="E176" s="51" t="s">
        <v>145</v>
      </c>
      <c r="F176" s="27"/>
      <c r="G176" s="61">
        <f aca="true" t="shared" si="165" ref="G176:M176">G177+G178+G179+G180</f>
        <v>298.231</v>
      </c>
      <c r="H176" s="61">
        <f t="shared" si="165"/>
        <v>0</v>
      </c>
      <c r="I176" s="71">
        <f t="shared" si="165"/>
        <v>298.231</v>
      </c>
      <c r="J176" s="61">
        <f t="shared" si="165"/>
        <v>0</v>
      </c>
      <c r="K176" s="71">
        <f t="shared" si="165"/>
        <v>298.231</v>
      </c>
      <c r="L176" s="71">
        <f t="shared" si="165"/>
        <v>0</v>
      </c>
      <c r="M176" s="71">
        <f t="shared" si="165"/>
        <v>298.231</v>
      </c>
      <c r="N176" s="71">
        <f aca="true" t="shared" si="166" ref="N176:S176">N177+N178+N179+N180</f>
        <v>0</v>
      </c>
      <c r="O176" s="71">
        <f t="shared" si="166"/>
        <v>298.231</v>
      </c>
      <c r="P176" s="71">
        <f t="shared" si="166"/>
        <v>0</v>
      </c>
      <c r="Q176" s="71">
        <f t="shared" si="166"/>
        <v>298.231</v>
      </c>
      <c r="R176" s="71">
        <f t="shared" si="166"/>
        <v>0</v>
      </c>
      <c r="S176" s="208">
        <f t="shared" si="166"/>
        <v>298.231</v>
      </c>
      <c r="T176" s="208">
        <f aca="true" t="shared" si="167" ref="T176:Y176">T177+T178+T179+T180</f>
        <v>0</v>
      </c>
      <c r="U176" s="208">
        <f t="shared" si="167"/>
        <v>298.231</v>
      </c>
      <c r="V176" s="208">
        <f t="shared" si="167"/>
        <v>0</v>
      </c>
      <c r="W176" s="208">
        <f t="shared" si="167"/>
        <v>298.231</v>
      </c>
      <c r="X176" s="208">
        <f t="shared" si="167"/>
        <v>0</v>
      </c>
      <c r="Y176" s="235">
        <f t="shared" si="167"/>
        <v>298.231</v>
      </c>
      <c r="Z176" s="235">
        <f aca="true" t="shared" si="168" ref="Z176:AE176">Z177+Z178+Z179+Z180</f>
        <v>0</v>
      </c>
      <c r="AA176" s="235">
        <f t="shared" si="168"/>
        <v>298.231</v>
      </c>
      <c r="AB176" s="235">
        <f t="shared" si="168"/>
        <v>0</v>
      </c>
      <c r="AC176" s="235">
        <f t="shared" si="168"/>
        <v>298.231</v>
      </c>
      <c r="AD176" s="235">
        <f t="shared" si="168"/>
        <v>0</v>
      </c>
      <c r="AE176" s="235">
        <f t="shared" si="168"/>
        <v>298.231</v>
      </c>
    </row>
    <row r="177" spans="1:31" ht="38.25">
      <c r="A177" s="26" t="s">
        <v>140</v>
      </c>
      <c r="B177" s="48" t="s">
        <v>189</v>
      </c>
      <c r="C177" s="27" t="s">
        <v>144</v>
      </c>
      <c r="D177" s="27" t="s">
        <v>4</v>
      </c>
      <c r="E177" s="51" t="s">
        <v>146</v>
      </c>
      <c r="F177" s="27" t="s">
        <v>22</v>
      </c>
      <c r="G177" s="61">
        <v>208.8</v>
      </c>
      <c r="H177" s="88"/>
      <c r="I177" s="71">
        <f>G177+H177</f>
        <v>208.8</v>
      </c>
      <c r="J177" s="88"/>
      <c r="K177" s="71">
        <f>I177+J177</f>
        <v>208.8</v>
      </c>
      <c r="L177" s="71"/>
      <c r="M177" s="71">
        <f>K177+L177</f>
        <v>208.8</v>
      </c>
      <c r="N177" s="71"/>
      <c r="O177" s="71">
        <f>M177+N177</f>
        <v>208.8</v>
      </c>
      <c r="P177" s="71"/>
      <c r="Q177" s="71">
        <f>O177+P177</f>
        <v>208.8</v>
      </c>
      <c r="R177" s="71"/>
      <c r="S177" s="208">
        <f>Q177+R177</f>
        <v>208.8</v>
      </c>
      <c r="T177" s="208"/>
      <c r="U177" s="208">
        <f>S177+T177</f>
        <v>208.8</v>
      </c>
      <c r="V177" s="208"/>
      <c r="W177" s="208">
        <f>U177+V177</f>
        <v>208.8</v>
      </c>
      <c r="X177" s="208"/>
      <c r="Y177" s="235">
        <f>W177+X177</f>
        <v>208.8</v>
      </c>
      <c r="Z177" s="235"/>
      <c r="AA177" s="235">
        <f>Y177+Z177</f>
        <v>208.8</v>
      </c>
      <c r="AB177" s="235"/>
      <c r="AC177" s="235">
        <f>AA177+AB177</f>
        <v>208.8</v>
      </c>
      <c r="AD177" s="235"/>
      <c r="AE177" s="235">
        <f>AC177+AD177</f>
        <v>208.8</v>
      </c>
    </row>
    <row r="178" spans="1:31" ht="32.25" customHeight="1" hidden="1">
      <c r="A178" s="26" t="s">
        <v>141</v>
      </c>
      <c r="B178" s="48" t="s">
        <v>189</v>
      </c>
      <c r="C178" s="27" t="s">
        <v>144</v>
      </c>
      <c r="D178" s="27" t="s">
        <v>4</v>
      </c>
      <c r="E178" s="51" t="s">
        <v>147</v>
      </c>
      <c r="F178" s="27" t="s">
        <v>22</v>
      </c>
      <c r="G178" s="61"/>
      <c r="H178" s="88"/>
      <c r="I178" s="71"/>
      <c r="J178" s="88"/>
      <c r="K178" s="71"/>
      <c r="L178" s="71"/>
      <c r="M178" s="71"/>
      <c r="N178" s="71"/>
      <c r="O178" s="71"/>
      <c r="P178" s="71"/>
      <c r="Q178" s="71"/>
      <c r="R178" s="71"/>
      <c r="S178" s="208"/>
      <c r="T178" s="208"/>
      <c r="U178" s="208"/>
      <c r="V178" s="208"/>
      <c r="W178" s="208"/>
      <c r="X178" s="208"/>
      <c r="Y178" s="235"/>
      <c r="Z178" s="235"/>
      <c r="AA178" s="235"/>
      <c r="AB178" s="235"/>
      <c r="AC178" s="235"/>
      <c r="AD178" s="235"/>
      <c r="AE178" s="235"/>
    </row>
    <row r="179" spans="1:31" ht="38.25">
      <c r="A179" s="26" t="s">
        <v>142</v>
      </c>
      <c r="B179" s="48" t="s">
        <v>189</v>
      </c>
      <c r="C179" s="27" t="s">
        <v>144</v>
      </c>
      <c r="D179" s="27" t="s">
        <v>4</v>
      </c>
      <c r="E179" s="51" t="s">
        <v>147</v>
      </c>
      <c r="F179" s="27" t="s">
        <v>22</v>
      </c>
      <c r="G179" s="61">
        <v>69.2</v>
      </c>
      <c r="H179" s="88"/>
      <c r="I179" s="71">
        <f>G179+H179</f>
        <v>69.2</v>
      </c>
      <c r="J179" s="88"/>
      <c r="K179" s="71">
        <f>I179+J179</f>
        <v>69.2</v>
      </c>
      <c r="L179" s="71"/>
      <c r="M179" s="71">
        <f>K179+L179</f>
        <v>69.2</v>
      </c>
      <c r="N179" s="71"/>
      <c r="O179" s="71">
        <f>M179+N179</f>
        <v>69.2</v>
      </c>
      <c r="P179" s="71"/>
      <c r="Q179" s="71">
        <f>O179+P179</f>
        <v>69.2</v>
      </c>
      <c r="R179" s="71"/>
      <c r="S179" s="208">
        <f>Q179+R179</f>
        <v>69.2</v>
      </c>
      <c r="T179" s="208"/>
      <c r="U179" s="208">
        <f>S179+T179</f>
        <v>69.2</v>
      </c>
      <c r="V179" s="208"/>
      <c r="W179" s="208">
        <f>U179+V179</f>
        <v>69.2</v>
      </c>
      <c r="X179" s="208"/>
      <c r="Y179" s="235">
        <f>W179+X179</f>
        <v>69.2</v>
      </c>
      <c r="Z179" s="235"/>
      <c r="AA179" s="235">
        <f>Y179+Z179</f>
        <v>69.2</v>
      </c>
      <c r="AB179" s="235"/>
      <c r="AC179" s="235">
        <f>AA179+AB179</f>
        <v>69.2</v>
      </c>
      <c r="AD179" s="235"/>
      <c r="AE179" s="235">
        <f>AC179+AD179</f>
        <v>69.2</v>
      </c>
    </row>
    <row r="180" spans="1:31" ht="25.5">
      <c r="A180" s="26" t="s">
        <v>154</v>
      </c>
      <c r="B180" s="48" t="s">
        <v>189</v>
      </c>
      <c r="C180" s="27" t="s">
        <v>144</v>
      </c>
      <c r="D180" s="27" t="s">
        <v>4</v>
      </c>
      <c r="E180" s="51" t="s">
        <v>148</v>
      </c>
      <c r="F180" s="27" t="s">
        <v>22</v>
      </c>
      <c r="G180" s="61">
        <v>20.231</v>
      </c>
      <c r="H180" s="88"/>
      <c r="I180" s="71">
        <f>G180+H180</f>
        <v>20.231</v>
      </c>
      <c r="J180" s="88"/>
      <c r="K180" s="71">
        <f>I180+J180</f>
        <v>20.231</v>
      </c>
      <c r="L180" s="71"/>
      <c r="M180" s="71">
        <f>K180+L180</f>
        <v>20.231</v>
      </c>
      <c r="N180" s="71"/>
      <c r="O180" s="71">
        <f>M180+N180</f>
        <v>20.231</v>
      </c>
      <c r="P180" s="71"/>
      <c r="Q180" s="71">
        <f>O180+P180</f>
        <v>20.231</v>
      </c>
      <c r="R180" s="71"/>
      <c r="S180" s="208">
        <f>Q180+R180</f>
        <v>20.231</v>
      </c>
      <c r="T180" s="208"/>
      <c r="U180" s="208">
        <f>S180+T180</f>
        <v>20.231</v>
      </c>
      <c r="V180" s="208"/>
      <c r="W180" s="208">
        <f>U180+V180</f>
        <v>20.231</v>
      </c>
      <c r="X180" s="208"/>
      <c r="Y180" s="235">
        <f>W180+X180</f>
        <v>20.231</v>
      </c>
      <c r="Z180" s="235"/>
      <c r="AA180" s="235">
        <f>Y180+Z180</f>
        <v>20.231</v>
      </c>
      <c r="AB180" s="235"/>
      <c r="AC180" s="235">
        <f>AA180+AB180</f>
        <v>20.231</v>
      </c>
      <c r="AD180" s="235"/>
      <c r="AE180" s="235">
        <f>AC180+AD180</f>
        <v>20.231</v>
      </c>
    </row>
    <row r="181" spans="1:31" s="8" customFormat="1" ht="17.25" customHeight="1">
      <c r="A181" s="40" t="s">
        <v>143</v>
      </c>
      <c r="B181" s="42"/>
      <c r="C181" s="41"/>
      <c r="D181" s="41"/>
      <c r="E181" s="111"/>
      <c r="F181" s="41"/>
      <c r="G181" s="84">
        <f aca="true" t="shared" si="169" ref="G181:S181">G9+G55+G62+G72+G95+G123+G156+G163+G169+G174</f>
        <v>12938.4</v>
      </c>
      <c r="H181" s="84">
        <f t="shared" si="169"/>
        <v>20421.856</v>
      </c>
      <c r="I181" s="84">
        <f t="shared" si="169"/>
        <v>33360.256</v>
      </c>
      <c r="J181" s="84">
        <f t="shared" si="169"/>
        <v>400</v>
      </c>
      <c r="K181" s="84">
        <f t="shared" si="169"/>
        <v>33760.256</v>
      </c>
      <c r="L181" s="84">
        <f t="shared" si="169"/>
        <v>778.972</v>
      </c>
      <c r="M181" s="84">
        <f t="shared" si="169"/>
        <v>34539.227999999996</v>
      </c>
      <c r="N181" s="84">
        <f t="shared" si="169"/>
        <v>220</v>
      </c>
      <c r="O181" s="84">
        <f t="shared" si="169"/>
        <v>34759.227999999996</v>
      </c>
      <c r="P181" s="84">
        <f t="shared" si="169"/>
        <v>1230</v>
      </c>
      <c r="Q181" s="84">
        <f t="shared" si="169"/>
        <v>35989.227999999996</v>
      </c>
      <c r="R181" s="84">
        <f t="shared" si="169"/>
        <v>723.3838000000002</v>
      </c>
      <c r="S181" s="210">
        <f t="shared" si="169"/>
        <v>36712.6118</v>
      </c>
      <c r="T181" s="210">
        <f>T9+T55+T62+T72+T95+T123+T156+T163+T169+T174</f>
        <v>0</v>
      </c>
      <c r="U181" s="210">
        <f>U9+U55+U62+U72+U95+U123+U156+U163+U169+U174</f>
        <v>36712.6118</v>
      </c>
      <c r="V181" s="210">
        <f>V9+V55+V62+V72+V95+V123+V156+V163+V169+V174</f>
        <v>2600</v>
      </c>
      <c r="W181" s="210">
        <f>W9+W55+W62+W72+W95+W123+W156+W163+W169+W174</f>
        <v>39312.6118</v>
      </c>
      <c r="X181" s="217">
        <f>X9+X55+X62+X72+X95+X123+X156+X163+X169+X174</f>
        <v>11223.759</v>
      </c>
      <c r="Y181" s="237">
        <f aca="true" t="shared" si="170" ref="Y181:AE181">Y9+Y55+Y62+Y72+Y95+Y123+Y156+Y163+Y169+Y174+Y151</f>
        <v>50536.3708</v>
      </c>
      <c r="Z181" s="237">
        <f t="shared" si="170"/>
        <v>41872.16999999999</v>
      </c>
      <c r="AA181" s="237">
        <f t="shared" si="170"/>
        <v>92408.54079999999</v>
      </c>
      <c r="AB181" s="237">
        <f t="shared" si="170"/>
        <v>3075.1843</v>
      </c>
      <c r="AC181" s="237">
        <f t="shared" si="170"/>
        <v>95483.72509999998</v>
      </c>
      <c r="AD181" s="237">
        <f t="shared" si="170"/>
        <v>-9546.217</v>
      </c>
      <c r="AE181" s="237">
        <f t="shared" si="170"/>
        <v>85937.50809999999</v>
      </c>
    </row>
    <row r="182" spans="1:31" ht="15" customHeight="1" hidden="1">
      <c r="A182" s="114"/>
      <c r="B182" s="85"/>
      <c r="C182" s="85"/>
      <c r="D182" s="85"/>
      <c r="E182" s="85"/>
      <c r="F182" s="85"/>
      <c r="I182" s="95"/>
      <c r="K182" s="95"/>
      <c r="O182" s="196">
        <f>M181+N181</f>
        <v>34759.227999999996</v>
      </c>
      <c r="P182" s="196"/>
      <c r="Q182" s="197">
        <f aca="true" t="shared" si="171" ref="Q182:W182">O181+P181</f>
        <v>35989.227999999996</v>
      </c>
      <c r="R182" s="197">
        <f t="shared" si="171"/>
        <v>37219.227999999996</v>
      </c>
      <c r="S182" s="197">
        <f t="shared" si="171"/>
        <v>36712.6118</v>
      </c>
      <c r="T182" s="197">
        <f t="shared" si="171"/>
        <v>37435.9956</v>
      </c>
      <c r="U182" s="197">
        <f t="shared" si="171"/>
        <v>36712.6118</v>
      </c>
      <c r="V182" s="197">
        <f t="shared" si="171"/>
        <v>36712.6118</v>
      </c>
      <c r="W182" s="197">
        <f t="shared" si="171"/>
        <v>39312.6118</v>
      </c>
      <c r="X182" s="197">
        <f aca="true" t="shared" si="172" ref="X182:AC182">V181+W181</f>
        <v>41912.6118</v>
      </c>
      <c r="Y182" s="197">
        <f t="shared" si="172"/>
        <v>50536.3708</v>
      </c>
      <c r="Z182" s="197">
        <f t="shared" si="172"/>
        <v>61760.129799999995</v>
      </c>
      <c r="AA182" s="197">
        <f t="shared" si="172"/>
        <v>92408.54079999999</v>
      </c>
      <c r="AB182" s="197">
        <f t="shared" si="172"/>
        <v>134280.71079999997</v>
      </c>
      <c r="AC182" s="197">
        <f t="shared" si="172"/>
        <v>95483.72509999998</v>
      </c>
      <c r="AD182" s="197">
        <f>AB181+AC181</f>
        <v>98558.90939999997</v>
      </c>
      <c r="AE182" s="197">
        <f>AC181+AD181</f>
        <v>85937.50809999998</v>
      </c>
    </row>
    <row r="183" spans="19:31" ht="15.75">
      <c r="S183" s="1">
        <v>36711.138</v>
      </c>
      <c r="T183" s="1">
        <v>36711.138</v>
      </c>
      <c r="U183" s="196"/>
      <c r="V183" s="196"/>
      <c r="W183" s="196"/>
      <c r="X183" s="196"/>
      <c r="Y183" s="196"/>
      <c r="Z183" s="196"/>
      <c r="AA183" s="196"/>
      <c r="AB183" s="196"/>
      <c r="AC183" s="196"/>
      <c r="AD183" s="196"/>
      <c r="AE183" s="196"/>
    </row>
    <row r="184" spans="19:31" ht="15.75">
      <c r="S184" s="215">
        <f>S181-S183</f>
        <v>1.4737999999997555</v>
      </c>
      <c r="T184" s="215">
        <f>T181-T183</f>
        <v>-36711.138</v>
      </c>
      <c r="U184" s="215"/>
      <c r="V184" s="215"/>
      <c r="W184" s="215"/>
      <c r="X184" s="215"/>
      <c r="Y184" s="231">
        <v>50536.3708</v>
      </c>
      <c r="Z184" s="231">
        <f>14078.81+27793.36</f>
        <v>41872.17</v>
      </c>
      <c r="AA184" s="231"/>
      <c r="AB184" s="231"/>
      <c r="AC184" s="231"/>
      <c r="AD184" s="231"/>
      <c r="AE184" s="231"/>
    </row>
    <row r="185" spans="19:31" ht="15.75">
      <c r="S185" s="196"/>
      <c r="T185" s="196"/>
      <c r="U185" s="196"/>
      <c r="V185" s="196"/>
      <c r="W185" s="196"/>
      <c r="X185" s="196"/>
      <c r="Y185" s="196"/>
      <c r="Z185" s="196"/>
      <c r="AA185" s="196"/>
      <c r="AB185" s="196"/>
      <c r="AC185" s="196"/>
      <c r="AD185" s="196"/>
      <c r="AE185" s="196"/>
    </row>
    <row r="190" spans="1:11" s="6" customFormat="1" ht="15.75">
      <c r="A190" s="9"/>
      <c r="B190" s="116"/>
      <c r="C190" s="116"/>
      <c r="D190" s="116"/>
      <c r="E190" s="116"/>
      <c r="F190" s="116"/>
      <c r="G190" s="117"/>
      <c r="H190" s="96"/>
      <c r="I190" s="96"/>
      <c r="J190" s="96"/>
      <c r="K190" s="96"/>
    </row>
    <row r="198" spans="1:11" s="6" customFormat="1" ht="15.75">
      <c r="A198" s="9"/>
      <c r="B198" s="116"/>
      <c r="C198" s="116"/>
      <c r="D198" s="116"/>
      <c r="E198" s="116"/>
      <c r="F198" s="116"/>
      <c r="G198" s="117"/>
      <c r="H198" s="96"/>
      <c r="I198" s="96"/>
      <c r="J198" s="96"/>
      <c r="K198" s="96"/>
    </row>
    <row r="210" spans="1:11" s="6" customFormat="1" ht="15.75">
      <c r="A210" s="9"/>
      <c r="B210" s="116"/>
      <c r="C210" s="116"/>
      <c r="D210" s="116"/>
      <c r="E210" s="116"/>
      <c r="F210" s="116"/>
      <c r="G210" s="117"/>
      <c r="H210" s="96"/>
      <c r="I210" s="96"/>
      <c r="J210" s="96"/>
      <c r="K210" s="96"/>
    </row>
    <row r="237" spans="1:11" s="6" customFormat="1" ht="15.75">
      <c r="A237" s="9"/>
      <c r="B237" s="116"/>
      <c r="C237" s="116"/>
      <c r="D237" s="116"/>
      <c r="E237" s="116"/>
      <c r="F237" s="116"/>
      <c r="G237" s="117"/>
      <c r="H237" s="96"/>
      <c r="I237" s="96"/>
      <c r="J237" s="96"/>
      <c r="K237" s="96"/>
    </row>
    <row r="246" spans="1:11" s="6" customFormat="1" ht="15.75">
      <c r="A246" s="9"/>
      <c r="B246" s="116"/>
      <c r="C246" s="116"/>
      <c r="D246" s="116"/>
      <c r="E246" s="116"/>
      <c r="F246" s="116"/>
      <c r="G246" s="117"/>
      <c r="H246" s="96"/>
      <c r="I246" s="96"/>
      <c r="J246" s="96"/>
      <c r="K246" s="96"/>
    </row>
    <row r="257" spans="2:5" ht="15.75">
      <c r="B257" s="118"/>
      <c r="C257" s="118"/>
      <c r="D257" s="118"/>
      <c r="E257" s="118"/>
    </row>
    <row r="258" spans="2:5" ht="15.75">
      <c r="B258" s="118"/>
      <c r="C258" s="118"/>
      <c r="D258" s="118"/>
      <c r="E258" s="118"/>
    </row>
    <row r="259" spans="2:5" ht="15.75">
      <c r="B259" s="118"/>
      <c r="C259" s="118"/>
      <c r="D259" s="118"/>
      <c r="E259" s="118"/>
    </row>
    <row r="260" spans="2:5" ht="15.75">
      <c r="B260" s="118"/>
      <c r="C260" s="118"/>
      <c r="D260" s="118"/>
      <c r="E260" s="118"/>
    </row>
    <row r="261" spans="2:5" ht="15.75">
      <c r="B261" s="118"/>
      <c r="C261" s="118"/>
      <c r="D261" s="118"/>
      <c r="E261" s="118"/>
    </row>
  </sheetData>
  <sheetProtection/>
  <mergeCells count="4">
    <mergeCell ref="A5:AA5"/>
    <mergeCell ref="C1:AE1"/>
    <mergeCell ref="C2:AE2"/>
    <mergeCell ref="C3:AE3"/>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glavapos</cp:lastModifiedBy>
  <cp:lastPrinted>2014-01-22T04:06:19Z</cp:lastPrinted>
  <dcterms:created xsi:type="dcterms:W3CDTF">2007-12-24T02:44:39Z</dcterms:created>
  <dcterms:modified xsi:type="dcterms:W3CDTF">2014-01-22T05:36:57Z</dcterms:modified>
  <cp:category/>
  <cp:version/>
  <cp:contentType/>
  <cp:contentStatus/>
</cp:coreProperties>
</file>